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5600" windowHeight="11760" activeTab="5"/>
  </bookViews>
  <sheets>
    <sheet name="Summary" sheetId="1" r:id="rId1"/>
    <sheet name="Arch" sheetId="2" r:id="rId2"/>
    <sheet name="HVAC" sheetId="3" r:id="rId3"/>
    <sheet name="Elec" sheetId="4" r:id="rId4"/>
    <sheet name="Tech" sheetId="5" r:id="rId5"/>
    <sheet name="Site" sheetId="6" r:id="rId6"/>
  </sheets>
  <externalReferences>
    <externalReference r:id="rId7"/>
  </externalReferences>
  <definedNames>
    <definedName name="_xlnm.Print_Area" localSheetId="1">Arch!$A$1:$Q$55</definedName>
    <definedName name="_xlnm.Print_Area" localSheetId="3">Elec!$A$1:$Q$53</definedName>
    <definedName name="_xlnm.Print_Area" localSheetId="2">HVAC!$A$1:$Q$48</definedName>
    <definedName name="_xlnm.Print_Area" localSheetId="5">Site!$A$1:$R$36</definedName>
    <definedName name="_xlnm.Print_Area" localSheetId="4">Tech!$A$1:$R$37</definedName>
  </definedNames>
  <calcPr calcId="145621"/>
</workbook>
</file>

<file path=xl/calcChain.xml><?xml version="1.0" encoding="utf-8"?>
<calcChain xmlns="http://schemas.openxmlformats.org/spreadsheetml/2006/main">
  <c r="L8" i="1" l="1"/>
  <c r="K8" i="1"/>
  <c r="J8" i="1"/>
  <c r="L9" i="1"/>
  <c r="K9" i="1"/>
  <c r="J9" i="1"/>
  <c r="N45" i="4"/>
  <c r="M45" i="4"/>
  <c r="L43" i="4"/>
  <c r="L42" i="4"/>
  <c r="L45" i="4" s="1"/>
  <c r="M41" i="4"/>
  <c r="M40" i="4"/>
  <c r="M39" i="4"/>
  <c r="M37" i="4"/>
  <c r="M35" i="4"/>
  <c r="M33" i="4"/>
  <c r="M31" i="4"/>
  <c r="N38" i="4"/>
  <c r="N36" i="4"/>
  <c r="N34" i="4"/>
  <c r="N32" i="4"/>
  <c r="N30" i="4"/>
  <c r="N29" i="4"/>
  <c r="N28" i="4"/>
  <c r="N27" i="4"/>
  <c r="N26" i="4"/>
  <c r="N25" i="4"/>
  <c r="N24" i="4"/>
  <c r="N23" i="4"/>
  <c r="N22" i="4"/>
  <c r="N21" i="4"/>
  <c r="N20" i="4"/>
  <c r="N19" i="4"/>
  <c r="N18" i="4"/>
  <c r="N17" i="4"/>
  <c r="N16" i="4"/>
  <c r="M15" i="4"/>
  <c r="M14" i="4"/>
  <c r="M13" i="4"/>
  <c r="M12" i="4"/>
  <c r="N11" i="4"/>
  <c r="L11" i="1"/>
  <c r="K11" i="1"/>
  <c r="J11" i="1"/>
  <c r="L24" i="6"/>
  <c r="L18" i="6"/>
  <c r="M22" i="6"/>
  <c r="L21" i="6"/>
  <c r="L28" i="6" s="1"/>
  <c r="L19" i="6"/>
  <c r="L17" i="6"/>
  <c r="M16" i="6"/>
  <c r="M14" i="6"/>
  <c r="M13" i="6"/>
  <c r="M28" i="6" s="1"/>
  <c r="L11" i="6"/>
  <c r="L10" i="6"/>
  <c r="L26" i="6"/>
  <c r="N12" i="6"/>
  <c r="N28" i="6"/>
  <c r="N32" i="6" s="1"/>
  <c r="M29" i="2"/>
  <c r="L31" i="6" l="1"/>
  <c r="L32" i="6"/>
  <c r="L30" i="6"/>
  <c r="L29" i="6"/>
  <c r="M30" i="6"/>
  <c r="M33" i="6" s="1"/>
  <c r="M29" i="6"/>
  <c r="M32" i="6"/>
  <c r="M31" i="6"/>
  <c r="N29" i="6"/>
  <c r="N33" i="6" s="1"/>
  <c r="N30" i="6"/>
  <c r="N31" i="6"/>
  <c r="G38" i="3"/>
  <c r="H38" i="3" s="1"/>
  <c r="M38" i="3" s="1"/>
  <c r="H33" i="3"/>
  <c r="M33" i="3" s="1"/>
  <c r="H32" i="3"/>
  <c r="M32" i="3" s="1"/>
  <c r="H29" i="3"/>
  <c r="M29" i="3" s="1"/>
  <c r="H28" i="3"/>
  <c r="M28" i="3" s="1"/>
  <c r="H27" i="3"/>
  <c r="N27" i="3" s="1"/>
  <c r="G26" i="3"/>
  <c r="H26" i="3" s="1"/>
  <c r="M26" i="3" s="1"/>
  <c r="H25" i="3"/>
  <c r="M25" i="3" s="1"/>
  <c r="H22" i="3"/>
  <c r="M22" i="3" s="1"/>
  <c r="H21" i="3"/>
  <c r="M21" i="3" s="1"/>
  <c r="H20" i="3"/>
  <c r="L20" i="3" s="1"/>
  <c r="H19" i="3"/>
  <c r="M19" i="3" s="1"/>
  <c r="H18" i="3"/>
  <c r="M18" i="3" s="1"/>
  <c r="H16" i="3"/>
  <c r="M16" i="3" s="1"/>
  <c r="H14" i="3"/>
  <c r="M14" i="3" s="1"/>
  <c r="H11" i="3"/>
  <c r="L11" i="3" s="1"/>
  <c r="L40" i="3" l="1"/>
  <c r="L33" i="6"/>
  <c r="L34" i="6" s="1"/>
  <c r="L35" i="6" s="1"/>
  <c r="N34" i="6"/>
  <c r="N35" i="6"/>
  <c r="M34" i="6"/>
  <c r="M35" i="6" s="1"/>
  <c r="H32" i="2"/>
  <c r="L32" i="2" s="1"/>
  <c r="H31" i="2"/>
  <c r="L31" i="2" s="1"/>
  <c r="H30" i="2"/>
  <c r="L30" i="2" s="1"/>
  <c r="G51" i="4" l="1"/>
  <c r="G49" i="4"/>
  <c r="G48" i="4"/>
  <c r="G47" i="4"/>
  <c r="G46" i="4"/>
  <c r="H43" i="4"/>
  <c r="H42" i="4"/>
  <c r="H41" i="4"/>
  <c r="H40" i="4"/>
  <c r="H39" i="4"/>
  <c r="G38" i="4"/>
  <c r="H38" i="4" s="1"/>
  <c r="H37" i="4"/>
  <c r="G36" i="4"/>
  <c r="H36" i="4" s="1"/>
  <c r="H35" i="4"/>
  <c r="G34" i="4"/>
  <c r="H34" i="4" s="1"/>
  <c r="H33" i="4"/>
  <c r="G32" i="4"/>
  <c r="H32" i="4" s="1"/>
  <c r="H31" i="4"/>
  <c r="G30" i="4"/>
  <c r="H30" i="4" s="1"/>
  <c r="H29" i="4"/>
  <c r="H28" i="4"/>
  <c r="H27" i="4"/>
  <c r="H26" i="4"/>
  <c r="H25" i="4"/>
  <c r="H24" i="4"/>
  <c r="H23" i="4"/>
  <c r="H22" i="4"/>
  <c r="H21" i="4"/>
  <c r="H20" i="4"/>
  <c r="H19" i="4"/>
  <c r="H18" i="4"/>
  <c r="H17" i="4"/>
  <c r="G16" i="4"/>
  <c r="H16" i="4" s="1"/>
  <c r="H15" i="4"/>
  <c r="H14" i="4"/>
  <c r="H13" i="4"/>
  <c r="G12" i="4"/>
  <c r="H12" i="4" s="1"/>
  <c r="H11" i="4"/>
  <c r="M49" i="4" l="1"/>
  <c r="N49" i="4"/>
  <c r="L49" i="4"/>
  <c r="M46" i="4"/>
  <c r="L46" i="4"/>
  <c r="N46" i="4"/>
  <c r="L47" i="4"/>
  <c r="M47" i="4"/>
  <c r="N47" i="4"/>
  <c r="N48" i="4"/>
  <c r="L48" i="4"/>
  <c r="M48" i="4"/>
  <c r="L50" i="4"/>
  <c r="L51" i="4" s="1"/>
  <c r="H45" i="4"/>
  <c r="C19" i="6"/>
  <c r="H18" i="6"/>
  <c r="N50" i="4" l="1"/>
  <c r="M50" i="4"/>
  <c r="L52" i="4"/>
  <c r="H47" i="4"/>
  <c r="H46" i="4"/>
  <c r="H49" i="4"/>
  <c r="H48" i="4"/>
  <c r="G31" i="3"/>
  <c r="G30" i="3"/>
  <c r="G34" i="3"/>
  <c r="G37" i="3"/>
  <c r="M51" i="4" l="1"/>
  <c r="M52" i="4"/>
  <c r="N51" i="4"/>
  <c r="N52" i="4"/>
  <c r="H50" i="4"/>
  <c r="H51" i="4" s="1"/>
  <c r="H52" i="4" s="1"/>
  <c r="H26" i="5"/>
  <c r="N26" i="5" s="1"/>
  <c r="H20" i="5"/>
  <c r="N20" i="5" s="1"/>
  <c r="H19" i="5"/>
  <c r="M19" i="5" s="1"/>
  <c r="H16" i="5"/>
  <c r="L16" i="5" s="1"/>
  <c r="H14" i="5"/>
  <c r="L14" i="5" s="1"/>
  <c r="H28" i="2" l="1"/>
  <c r="N28" i="2" s="1"/>
  <c r="H26" i="2"/>
  <c r="M26" i="2" s="1"/>
  <c r="H21" i="6"/>
  <c r="C14" i="6"/>
  <c r="H13" i="6"/>
  <c r="H24" i="2" l="1"/>
  <c r="M24" i="2" s="1"/>
  <c r="H23" i="2"/>
  <c r="M23" i="2" s="1"/>
  <c r="H27" i="2"/>
  <c r="N27" i="2" s="1"/>
  <c r="H25" i="2"/>
  <c r="M25" i="2" s="1"/>
  <c r="H22" i="2"/>
  <c r="L22" i="2" s="1"/>
  <c r="H21" i="2"/>
  <c r="L21" i="2" s="1"/>
  <c r="H19" i="2"/>
  <c r="N19" i="2" s="1"/>
  <c r="H44" i="2" l="1"/>
  <c r="L44" i="2" s="1"/>
  <c r="D23" i="1" l="1"/>
  <c r="C6" i="2"/>
  <c r="H24" i="6"/>
  <c r="H17" i="6"/>
  <c r="H12" i="6"/>
  <c r="H26" i="6"/>
  <c r="H22" i="6"/>
  <c r="H19" i="6"/>
  <c r="H16" i="6"/>
  <c r="H14" i="6"/>
  <c r="G11" i="6"/>
  <c r="H11" i="6" s="1"/>
  <c r="H10" i="6"/>
  <c r="H28" i="6" l="1"/>
  <c r="C18" i="2"/>
  <c r="C20" i="2" s="1"/>
  <c r="H20" i="2" s="1"/>
  <c r="N20" i="2" s="1"/>
  <c r="H30" i="6" l="1"/>
  <c r="G11" i="1"/>
  <c r="H32" i="6"/>
  <c r="H31" i="6"/>
  <c r="H29" i="6"/>
  <c r="H33" i="6" l="1"/>
  <c r="H35" i="2"/>
  <c r="L35" i="2" s="1"/>
  <c r="H38" i="2"/>
  <c r="M38" i="2" s="1"/>
  <c r="H41" i="2"/>
  <c r="N41" i="2" s="1"/>
  <c r="H34" i="6" l="1"/>
  <c r="H35" i="6" s="1"/>
  <c r="C5" i="6"/>
  <c r="C4" i="6"/>
  <c r="C3" i="6"/>
  <c r="G35" i="5"/>
  <c r="G33" i="5"/>
  <c r="G32" i="5"/>
  <c r="G31" i="5"/>
  <c r="G30" i="5"/>
  <c r="C6" i="5"/>
  <c r="C5" i="5"/>
  <c r="C4" i="5"/>
  <c r="C3" i="5"/>
  <c r="C6" i="4"/>
  <c r="C5" i="4"/>
  <c r="C4" i="4"/>
  <c r="C3" i="4"/>
  <c r="G46" i="3"/>
  <c r="G44" i="3"/>
  <c r="L44" i="3" s="1"/>
  <c r="G43" i="3"/>
  <c r="L43" i="3" s="1"/>
  <c r="G42" i="3"/>
  <c r="L42" i="3" s="1"/>
  <c r="G41" i="3"/>
  <c r="L41" i="3" s="1"/>
  <c r="C6" i="3"/>
  <c r="C5" i="3"/>
  <c r="C4" i="3"/>
  <c r="C3" i="3"/>
  <c r="L45" i="3" l="1"/>
  <c r="L46" i="3"/>
  <c r="L47" i="3" s="1"/>
  <c r="C22" i="5"/>
  <c r="H22" i="5" s="1"/>
  <c r="N22" i="5" s="1"/>
  <c r="C21" i="5"/>
  <c r="H21" i="5" s="1"/>
  <c r="L21" i="5" s="1"/>
  <c r="C17" i="5"/>
  <c r="C15" i="5"/>
  <c r="C13" i="5"/>
  <c r="H13" i="5" s="1"/>
  <c r="N13" i="5" s="1"/>
  <c r="N29" i="5" s="1"/>
  <c r="C12" i="5"/>
  <c r="H31" i="3"/>
  <c r="N31" i="3" s="1"/>
  <c r="G17" i="5"/>
  <c r="G15" i="5"/>
  <c r="N31" i="5" l="1"/>
  <c r="N33" i="5"/>
  <c r="N30" i="5"/>
  <c r="L10" i="1"/>
  <c r="N32" i="5"/>
  <c r="H15" i="5"/>
  <c r="M15" i="5" s="1"/>
  <c r="H17" i="5"/>
  <c r="M17" i="5" s="1"/>
  <c r="M29" i="5" s="1"/>
  <c r="H12" i="5"/>
  <c r="L12" i="5" s="1"/>
  <c r="C27" i="5"/>
  <c r="G27" i="5"/>
  <c r="G25" i="5"/>
  <c r="H25" i="5" s="1"/>
  <c r="L25" i="5" s="1"/>
  <c r="G18" i="5"/>
  <c r="H18" i="5" s="1"/>
  <c r="M18" i="5" s="1"/>
  <c r="H11" i="2"/>
  <c r="M11" i="2" s="1"/>
  <c r="N34" i="5" l="1"/>
  <c r="N35" i="5"/>
  <c r="N36" i="5" s="1"/>
  <c r="M31" i="5"/>
  <c r="M32" i="5"/>
  <c r="M30" i="5"/>
  <c r="K10" i="1"/>
  <c r="M33" i="5"/>
  <c r="H27" i="5"/>
  <c r="L27" i="5" s="1"/>
  <c r="L29" i="5" s="1"/>
  <c r="G35" i="3"/>
  <c r="H35" i="3" s="1"/>
  <c r="M35" i="3" s="1"/>
  <c r="H34" i="3"/>
  <c r="M34" i="3" s="1"/>
  <c r="M34" i="5" l="1"/>
  <c r="L33" i="5"/>
  <c r="L32" i="5"/>
  <c r="L31" i="5"/>
  <c r="L30" i="5"/>
  <c r="J10" i="1"/>
  <c r="M35" i="5"/>
  <c r="M36" i="5" s="1"/>
  <c r="G36" i="3"/>
  <c r="G17" i="3"/>
  <c r="G15" i="3"/>
  <c r="L34" i="5" l="1"/>
  <c r="L35" i="5"/>
  <c r="L36" i="5" s="1"/>
  <c r="H37" i="3"/>
  <c r="M37" i="3" s="1"/>
  <c r="M40" i="3" s="1"/>
  <c r="H36" i="3"/>
  <c r="N36" i="3" s="1"/>
  <c r="H30" i="3"/>
  <c r="N30" i="3" s="1"/>
  <c r="H17" i="3"/>
  <c r="N17" i="3" s="1"/>
  <c r="H15" i="3"/>
  <c r="N15" i="3" s="1"/>
  <c r="H18" i="2"/>
  <c r="N18" i="2" s="1"/>
  <c r="N47" i="2" s="1"/>
  <c r="H17" i="2"/>
  <c r="L17" i="2" s="1"/>
  <c r="H14" i="2"/>
  <c r="M14" i="2" s="1"/>
  <c r="H13" i="2"/>
  <c r="L13" i="2" s="1"/>
  <c r="H12" i="2"/>
  <c r="L12" i="2" s="1"/>
  <c r="H10" i="2"/>
  <c r="M10" i="2" s="1"/>
  <c r="M47" i="2" l="1"/>
  <c r="L47" i="2"/>
  <c r="N40" i="3"/>
  <c r="M44" i="3"/>
  <c r="M43" i="3"/>
  <c r="M42" i="3"/>
  <c r="M41" i="3"/>
  <c r="M45" i="3"/>
  <c r="N51" i="2"/>
  <c r="N50" i="2"/>
  <c r="N49" i="2"/>
  <c r="L7" i="1"/>
  <c r="L12" i="1" s="1"/>
  <c r="N48" i="2"/>
  <c r="H29" i="5"/>
  <c r="H47" i="2"/>
  <c r="G7" i="1" s="1"/>
  <c r="G9" i="1"/>
  <c r="H40" i="3"/>
  <c r="G8" i="1" s="1"/>
  <c r="N52" i="2" l="1"/>
  <c r="N53" i="2" s="1"/>
  <c r="N54" i="2" s="1"/>
  <c r="L48" i="2"/>
  <c r="L50" i="2"/>
  <c r="L49" i="2"/>
  <c r="L51" i="2"/>
  <c r="J7" i="1"/>
  <c r="J12" i="1" s="1"/>
  <c r="M48" i="2"/>
  <c r="K7" i="1"/>
  <c r="K12" i="1" s="1"/>
  <c r="M49" i="2"/>
  <c r="M50" i="2"/>
  <c r="M51" i="2"/>
  <c r="M46" i="3"/>
  <c r="M47" i="3" s="1"/>
  <c r="N41" i="3"/>
  <c r="N42" i="3"/>
  <c r="N44" i="3"/>
  <c r="N43" i="3"/>
  <c r="L15" i="1"/>
  <c r="L14" i="1"/>
  <c r="L13" i="1"/>
  <c r="L16" i="1"/>
  <c r="G10" i="1"/>
  <c r="D7" i="1" s="1"/>
  <c r="D10" i="1" s="1"/>
  <c r="H32" i="5"/>
  <c r="H33" i="5"/>
  <c r="H31" i="5"/>
  <c r="H30" i="5"/>
  <c r="H50" i="2"/>
  <c r="H49" i="2"/>
  <c r="H48" i="2"/>
  <c r="H51" i="2"/>
  <c r="H44" i="3"/>
  <c r="H43" i="3"/>
  <c r="H42" i="3"/>
  <c r="H41" i="3"/>
  <c r="K13" i="1" l="1"/>
  <c r="K15" i="1"/>
  <c r="K14" i="1"/>
  <c r="K16" i="1"/>
  <c r="M52" i="2"/>
  <c r="M53" i="2" s="1"/>
  <c r="M54" i="2" s="1"/>
  <c r="J14" i="1"/>
  <c r="J15" i="1"/>
  <c r="J17" i="1" s="1"/>
  <c r="J18" i="1" s="1"/>
  <c r="J19" i="1" s="1"/>
  <c r="J16" i="1"/>
  <c r="J13" i="1"/>
  <c r="L52" i="2"/>
  <c r="N45" i="3"/>
  <c r="N46" i="3" s="1"/>
  <c r="N47" i="3" s="1"/>
  <c r="L17" i="1"/>
  <c r="H34" i="5"/>
  <c r="H35" i="5" s="1"/>
  <c r="H45" i="3"/>
  <c r="H46" i="3" s="1"/>
  <c r="H47" i="3" s="1"/>
  <c r="H52" i="2"/>
  <c r="H53" i="2" s="1"/>
  <c r="H54" i="2" s="1"/>
  <c r="D9" i="1"/>
  <c r="D8" i="1"/>
  <c r="D11" i="1"/>
  <c r="K17" i="1" l="1"/>
  <c r="K18" i="1" s="1"/>
  <c r="K19" i="1" s="1"/>
  <c r="L53" i="2"/>
  <c r="L54" i="2"/>
  <c r="H36" i="5"/>
  <c r="L18" i="1"/>
  <c r="L19" i="1" s="1"/>
  <c r="J21" i="1" s="1"/>
  <c r="D12" i="1"/>
  <c r="D13" i="1" s="1"/>
  <c r="D15" i="1" s="1"/>
  <c r="D19" i="1" l="1"/>
  <c r="D25" i="1" s="1"/>
</calcChain>
</file>

<file path=xl/sharedStrings.xml><?xml version="1.0" encoding="utf-8"?>
<sst xmlns="http://schemas.openxmlformats.org/spreadsheetml/2006/main" count="652" uniqueCount="306">
  <si>
    <t>Requirement Forecast Report - Architectural</t>
  </si>
  <si>
    <t>Ratings to be based on the following scoring system</t>
  </si>
  <si>
    <r>
      <rPr>
        <b/>
        <sz val="10"/>
        <color theme="1"/>
        <rFont val="Andale WT"/>
        <family val="2"/>
      </rPr>
      <t>Client</t>
    </r>
    <r>
      <rPr>
        <b/>
        <sz val="10"/>
        <color theme="1"/>
        <rFont val="Andale WT"/>
        <family val="2"/>
      </rPr>
      <t xml:space="preserve">: </t>
    </r>
  </si>
  <si>
    <t>1.  End of useful life</t>
  </si>
  <si>
    <r>
      <rPr>
        <b/>
        <sz val="10"/>
        <color theme="1"/>
        <rFont val="Andale WT"/>
        <family val="2"/>
      </rPr>
      <t>Campus</t>
    </r>
    <r>
      <rPr>
        <b/>
        <sz val="10"/>
        <color theme="1"/>
        <rFont val="Andale WT"/>
        <family val="2"/>
      </rPr>
      <t xml:space="preserve">: </t>
    </r>
  </si>
  <si>
    <t>2.  In need of Repair/Replacement</t>
  </si>
  <si>
    <r>
      <rPr>
        <b/>
        <sz val="10"/>
        <color theme="1"/>
        <rFont val="Andale WT"/>
        <family val="2"/>
      </rPr>
      <t>Asset</t>
    </r>
    <r>
      <rPr>
        <b/>
        <sz val="10"/>
        <color theme="1"/>
        <rFont val="Andale WT"/>
        <family val="2"/>
      </rPr>
      <t xml:space="preserve">: </t>
    </r>
  </si>
  <si>
    <t>3.  Condition is satisfactory</t>
  </si>
  <si>
    <t>4.  Recently replaced</t>
  </si>
  <si>
    <t>Quantity</t>
  </si>
  <si>
    <t>Detail (models, sizing, etc.)</t>
  </si>
  <si>
    <t>Condition</t>
  </si>
  <si>
    <t>Unit Cost</t>
  </si>
  <si>
    <t>Total Cost</t>
  </si>
  <si>
    <t>sf</t>
  </si>
  <si>
    <t>lf</t>
  </si>
  <si>
    <t>Subtotal Project Cost</t>
  </si>
  <si>
    <t>Estimate Contingency</t>
  </si>
  <si>
    <t>Contractor General Conditions</t>
  </si>
  <si>
    <t>Project Contingency</t>
  </si>
  <si>
    <t>Phasing Costs</t>
  </si>
  <si>
    <t>Estimate of Probable Construction Costs</t>
  </si>
  <si>
    <t>Project Soft Costs</t>
  </si>
  <si>
    <t>TOTAL Project Estimate of Probable Costs</t>
  </si>
  <si>
    <t>Requirement Forecast Report - Plumbing/HVAC</t>
  </si>
  <si>
    <t>Building Area:</t>
  </si>
  <si>
    <t>Fire Protection</t>
  </si>
  <si>
    <t>Plumbing</t>
  </si>
  <si>
    <t>ls</t>
  </si>
  <si>
    <t>Incoming Water Service</t>
  </si>
  <si>
    <t>Existing water service is adequate for current usage.  If the existing High School/Junior High is sprinklered, a new water service will be required.</t>
  </si>
  <si>
    <t>ea</t>
  </si>
  <si>
    <t>HVAC</t>
  </si>
  <si>
    <t>mbh</t>
  </si>
  <si>
    <t>cfm</t>
  </si>
  <si>
    <t>Chilled Water System</t>
  </si>
  <si>
    <t>tons</t>
  </si>
  <si>
    <t>Subtotal Project Costs</t>
  </si>
  <si>
    <t>Design Contingency</t>
  </si>
  <si>
    <t>Requirement Forecast Report - Electrical</t>
  </si>
  <si>
    <t>Electrical</t>
  </si>
  <si>
    <t>Switchboards</t>
  </si>
  <si>
    <t>Panelboards</t>
  </si>
  <si>
    <t>Old/Damaged Panelboards. Need Replaced. Assume 42 ckt. 225A.</t>
  </si>
  <si>
    <t>Interior Lighting</t>
  </si>
  <si>
    <t>Circuiting as needed for new lighting fixtures denoted below</t>
  </si>
  <si>
    <t xml:space="preserve">   Classrooms</t>
  </si>
  <si>
    <t>T8 troffers. Upgrade to LED (number assumes 12 fixtures per classroom)</t>
  </si>
  <si>
    <t xml:space="preserve">   Labs</t>
  </si>
  <si>
    <t>T8 troffers. Upgrade to LED (number assumes 16 fixtures per Lab)</t>
  </si>
  <si>
    <t xml:space="preserve">   Corridors</t>
  </si>
  <si>
    <t>T8 troffers (primarily). Upgrade to LED</t>
  </si>
  <si>
    <t xml:space="preserve">   Cafeteria</t>
  </si>
  <si>
    <t xml:space="preserve">   Kitchen</t>
  </si>
  <si>
    <t xml:space="preserve">   Media Center</t>
  </si>
  <si>
    <t xml:space="preserve">   Administration</t>
  </si>
  <si>
    <t>T8 troffers. Upgrade to LED.</t>
  </si>
  <si>
    <t xml:space="preserve">   Restroom</t>
  </si>
  <si>
    <t xml:space="preserve">   Switching (2 per classroom &amp; lab, all else 1)</t>
  </si>
  <si>
    <t>Good Condition.</t>
  </si>
  <si>
    <t>Classroom Receptacles</t>
  </si>
  <si>
    <t>Damaged/Aged. (50%)</t>
  </si>
  <si>
    <t>Lab Receptacles</t>
  </si>
  <si>
    <t>Corridor Receptacles</t>
  </si>
  <si>
    <t>Mechanical Equipment Power</t>
  </si>
  <si>
    <t>Disconnect and reconnect HVAC systems</t>
  </si>
  <si>
    <t>Fire Alarm System</t>
  </si>
  <si>
    <t>Exit/Emergency Lighting</t>
  </si>
  <si>
    <t>Project Subtotal</t>
  </si>
  <si>
    <t>Requirement Forecast Report - Technology</t>
  </si>
  <si>
    <t>Technology</t>
  </si>
  <si>
    <t>Paging System and Speakers</t>
  </si>
  <si>
    <t>Clock System</t>
  </si>
  <si>
    <t>Phone System and Phones</t>
  </si>
  <si>
    <t>Horizontal Cabling Infrastructure</t>
  </si>
  <si>
    <t>Fiber Backbone Cabling Infrastructure</t>
  </si>
  <si>
    <t>Pathways for Horizontal Data Cabling</t>
  </si>
  <si>
    <t>Classroom AV Cabling</t>
  </si>
  <si>
    <t>Classroom Displays</t>
  </si>
  <si>
    <t>Classroom Sound Systems</t>
  </si>
  <si>
    <t>Network Switching</t>
  </si>
  <si>
    <t>Wireless Network</t>
  </si>
  <si>
    <t>Security</t>
  </si>
  <si>
    <t>Access Control</t>
  </si>
  <si>
    <t>Currently there is no Access Control System in the school. An access control system is recommended to be provided with card readers at 7 doors.</t>
  </si>
  <si>
    <t>Video Surviellance</t>
  </si>
  <si>
    <t>Intrusion Detection</t>
  </si>
  <si>
    <t>TOTAL Estimate of Probable Costs</t>
  </si>
  <si>
    <t>Requirement Forecast Report - Summary</t>
  </si>
  <si>
    <t>Detailed Assessment with Costs</t>
  </si>
  <si>
    <t>Architectural</t>
  </si>
  <si>
    <t>HVAC/Plumbing</t>
  </si>
  <si>
    <t>Receptacle Circuiting</t>
  </si>
  <si>
    <t>5.  New work is recommended</t>
  </si>
  <si>
    <t>5.  New work is Recommended</t>
  </si>
  <si>
    <t>5.  New work Recommended</t>
  </si>
  <si>
    <t>Revised:</t>
  </si>
  <si>
    <t>TOTAL Estimate of Probable Project Costs</t>
  </si>
  <si>
    <t>Subtotal Construction Cost</t>
  </si>
  <si>
    <t>Total Estimate of Probable Construction Costs</t>
  </si>
  <si>
    <t>Prioritization</t>
  </si>
  <si>
    <t>Yes</t>
  </si>
  <si>
    <t>No</t>
  </si>
  <si>
    <t>Newer Undamaged Panelboards. Average of &gt;15 year life remaining.</t>
  </si>
  <si>
    <t>X</t>
  </si>
  <si>
    <t>Yellow Springs Schools</t>
  </si>
  <si>
    <t>TBD</t>
  </si>
  <si>
    <t>Site</t>
  </si>
  <si>
    <t>Yellow Springs School</t>
  </si>
  <si>
    <t>Requirement Forecast Report - Site</t>
  </si>
  <si>
    <t>Yellow Springs HS/MMS</t>
  </si>
  <si>
    <t xml:space="preserve">Client: </t>
  </si>
  <si>
    <t xml:space="preserve">Campus: </t>
  </si>
  <si>
    <t xml:space="preserve">Asset: </t>
  </si>
  <si>
    <t>Student and Staff Furnishings</t>
  </si>
  <si>
    <t>The loose furnishings in this facility overall rate at a 3 or below on a scale of 10 (excellent) to 1 (poor) and therefore should be replaced.</t>
  </si>
  <si>
    <t>Abatement of known and suspected hazardous materials present</t>
  </si>
  <si>
    <t>AHERA three-year reinspection reports dated January 2017 indicate several known, assumed and suspected hazardous materials throughout the facility that should be abated.</t>
  </si>
  <si>
    <t>Address accessibility issues within the building</t>
  </si>
  <si>
    <t>Remove and replace (or provide new) signage, toilet fixtures (for accessiblity only), lift at the stage, automatic door operator at main entry, accessible showers science classroom lab stations and toilet facilities.</t>
  </si>
  <si>
    <t>Roofing</t>
  </si>
  <si>
    <t>Windows</t>
  </si>
  <si>
    <t>Foundation</t>
  </si>
  <si>
    <t>Exterior walls</t>
  </si>
  <si>
    <t>Exterior Doors</t>
  </si>
  <si>
    <t>Replace overall roof system due to current age and anticipated life remaining life.  This includes cap flashings/copings, gutters and downspouts, roof drains, piping, insulation and roof access/safety systems.</t>
  </si>
  <si>
    <t>Provide new dual-glazed insulated windows with integral blinds or roller shades, as well as transoms and sidelights throughout 1963 original building.  Replace interior glazing above lockers in corridors.  In addition, replace greenhouse in 1963 addition.</t>
  </si>
  <si>
    <t>Repair various locations of cracked foundation wall or open joints in 1963 and 1988 buildings, repair leaks at walls of mechanical room.</t>
  </si>
  <si>
    <t>Tuckpoint several areas of mortar joint deterioration; clean, seal and caulk overall facility where required.  Prep and paint exposed steel lintels.  Replace damaged exterior wall panels, provide infill masonry where needed and replace railings to meet code.  Repoint stone sills and replace control/expansion joints, and wood soffits.</t>
  </si>
  <si>
    <t>Replace exterior doors in 1963 and 1999 buildings.</t>
  </si>
  <si>
    <t>Drives and Parking</t>
  </si>
  <si>
    <t xml:space="preserve">Provide off-street  ADA Parking </t>
  </si>
  <si>
    <t>Walks and Access</t>
  </si>
  <si>
    <t>Remove exisiting walk and prepare base for new 8' wide 4" thick concrete walk.</t>
  </si>
  <si>
    <t>Site Safety and Security</t>
  </si>
  <si>
    <t>Site Drainage</t>
  </si>
  <si>
    <t>Base Site Work Allowance</t>
  </si>
  <si>
    <t>Provide $1.50 per building  square footage.</t>
  </si>
  <si>
    <t>Site Area:</t>
  </si>
  <si>
    <t>acre</t>
  </si>
  <si>
    <t>Fence at stadium has been damaged and needs to be repaired or replaced.</t>
  </si>
  <si>
    <t>10' tall chain link fence with midrail</t>
  </si>
  <si>
    <t>Construct parking on site with access to the main entry for three ADA parking spaces and three spaces with access to either the main entrance or an alterantive accessible entrance.</t>
  </si>
  <si>
    <t>Reconstruct main entry parking, staff parking and access drive.</t>
  </si>
  <si>
    <t>Full resconstruction with standard duty asphalt pavement.</t>
  </si>
  <si>
    <t xml:space="preserve">Remove and replace front walks and walks directly adjacent to the building.  </t>
  </si>
  <si>
    <t>Install integral vertical curb as part of sidewalk replacement at main entry and student drop off areas.</t>
  </si>
  <si>
    <t>Install concrete walk for egress from all exit doors.</t>
  </si>
  <si>
    <t>Prepare base and install new 6' wide 4" thick concrete walk.</t>
  </si>
  <si>
    <t>Provide improve student drop-off lane</t>
  </si>
  <si>
    <t>Install vertical curb to provide separation between vehicles and pedestrians where possible.  This will require draiange improvments, see drainage section.</t>
  </si>
  <si>
    <t>Provide subsurface draiange with stormwater inlets as part of drive and walkway seperation work</t>
  </si>
  <si>
    <t>Site Work Allowance</t>
  </si>
  <si>
    <t>TOTAL AREA (SF)</t>
  </si>
  <si>
    <t>TOTAL RENOVATION COSTS</t>
  </si>
  <si>
    <t>TOTAL COST PER SF (NEW CONSTRUCTION)</t>
  </si>
  <si>
    <t>TOTAL REPLACEMENT COSTS FOR SAME BUILDING AREA</t>
  </si>
  <si>
    <t>RENOVATE TO REPLACE RATIO</t>
  </si>
  <si>
    <t>Provide designated student drop off lane that is clearly marked with and unobstructed walkway to the main entrance.</t>
  </si>
  <si>
    <t>Building General</t>
  </si>
  <si>
    <t>Replacement of 1988 Building Area</t>
  </si>
  <si>
    <t>The 1988 building is comprised of temporary modular classrooms, sourrounded by masonry veneer.  The original intent of these type classrooms is for temporary facilities, not extended service over decades.  At this point, these facilities have served 31 years, well over their useful life and should be replaced with facilities comparable to a permanent educational facility structure.</t>
  </si>
  <si>
    <t>Structure: Floors and Roofs - 1963 Original Building</t>
  </si>
  <si>
    <t>Address structural concerns (exterior wall separation) at east end of intermediate floors of 1963 building.</t>
  </si>
  <si>
    <t>Art program kiln replacmenet</t>
  </si>
  <si>
    <t>Remove demountable partitions, install new GWB partitions</t>
  </si>
  <si>
    <t>Additional wall insulation</t>
  </si>
  <si>
    <t>Total kitchen equipment replacement</t>
  </si>
  <si>
    <t>Replace stage equipment</t>
  </si>
  <si>
    <t>stall</t>
  </si>
  <si>
    <t>Crack and seal coat student parking lot</t>
  </si>
  <si>
    <t>Extend the concrete dumpster pad</t>
  </si>
  <si>
    <t>Replace steel hand rail at basment stiars</t>
  </si>
  <si>
    <t>Painted steel guardrail</t>
  </si>
  <si>
    <t>6" steel reinforced concrete thicked at the edges</t>
  </si>
  <si>
    <t>Replace stage equipment due to age and condition in black box theater room.</t>
  </si>
  <si>
    <t>Replace food service equipment due to age and condition.</t>
  </si>
  <si>
    <t>Replace all finishes due to age and condition.</t>
  </si>
  <si>
    <t>Replace all toilet partitions due to age and condition.</t>
  </si>
  <si>
    <t>Replace all toilet accessories due to age and condition.</t>
  </si>
  <si>
    <t>Replace doors, frames and hardware due to age, condition and non-compliance with ADA guidelines.</t>
  </si>
  <si>
    <t>Replace art kilns due to age and condition.</t>
  </si>
  <si>
    <t>Replace demountable partitions due to age, condition, acoustical values and non-use.</t>
  </si>
  <si>
    <t>Provide additional wall insulation for improved building envelope performance.</t>
  </si>
  <si>
    <t>Kitchen hood and cooler/freezer replacement</t>
  </si>
  <si>
    <t>unit</t>
  </si>
  <si>
    <t>Acoustical control</t>
  </si>
  <si>
    <t>New systems due to hazardous material removals</t>
  </si>
  <si>
    <t>Replacement of gypsum board, acoustical panels/tile ceilings, and lab tables/countertops due to removal by hazardous material abatement.</t>
  </si>
  <si>
    <t>Provide acoustical surface treatments in the gymnasium, student dining and media center.</t>
  </si>
  <si>
    <t>The existing Dukane paging system has reached the end of it's life. Replacement parts and support are not available for the existing system since the manufacturer is no longer in business.  It is recommended that a new paging system be provided for the entire building. This would include a new headend, new speakers, and new cabling.</t>
  </si>
  <si>
    <t>There is currently no synchronous clock system. It is recommended the  entire building be provided with a synchronous clock system that is tied into other systems within the building.</t>
  </si>
  <si>
    <t>The existing phone system functions but consistently drops out multiple times a month. It is recommended that a new IP phone system be provided. This will include a new phone switch or managed system, and all new IP phones.</t>
  </si>
  <si>
    <t>The existing fiber backbone is currently 62.5 multi-mode fiber optic cable. This will only support a 1 Gb backbone for the network. It is recommended that this cable be replaced with 50 micron multi-mode fiber optic cable. This will support a 10 Gb backbone to support higher bandwidth speeds and more devices on the  network.</t>
  </si>
  <si>
    <t>A majority of the data cabling and video input cabling is exposed and not properly supported. There are many locations where the cabling is coming straight down from the ceiling to the device it's connected to. It is recommended that all new pathways be provided to support the horizontal data cabling and video input cabling.</t>
  </si>
  <si>
    <t>The existing AV cabling is classrooms is analog VGA cabling. When computers are refreshed, the newer computers will no longer support analog VGA video. It is recommended that the classrooms be upgraded with digital HDMI cabling between the teacher's computer and video display.</t>
  </si>
  <si>
    <t>There is a mixture of new Ultra Short-throw projectors and older discontinued LCD projectors in the building. It is recommended that the older LCD projectors be replaced with the new ultra-short throw projectors.</t>
  </si>
  <si>
    <t>There are currently no Classroom Sound Systems. It is recommended that at a minimum a new small amplifier and 2 ceiling speakers be provided in each room for the audio from the teacher's PC to be evenly distributed in the room.</t>
  </si>
  <si>
    <t>It is recommended that the network switches be replaced to support a 10 Gb network. There are also currently no UPS's installed in the building and there have been power issues. It is recommended that new UPS's be provided in each technology cabinet/rack.</t>
  </si>
  <si>
    <t>The existing wireless network was installed in the summer of 2018. The existing wireless network does not need to be replaced</t>
  </si>
  <si>
    <t>The security camera system was recently upgraded 2 years ago. There is adequate coverage at the school.</t>
  </si>
  <si>
    <t>There is currently some intrusion detection installed in the school. A new intrusion detection system is recommended for the entire first floor. This would be accomplished by providing door contacts on all exterior doors and motion detectors on the first floor.</t>
  </si>
  <si>
    <t>No sprinkler system currently exists.  Consider adding sprinkler system throughout entire building.</t>
  </si>
  <si>
    <t xml:space="preserve">Sprinkler </t>
  </si>
  <si>
    <t>Sanitary Piping - 2002 Addition</t>
  </si>
  <si>
    <t>Domestic Water Piping - 2002 Addition</t>
  </si>
  <si>
    <t>Existing sanitary piping in the 2002 addition is in good condition.</t>
  </si>
  <si>
    <t>Existing domestic water piping in the 2002 addition is in good condition.</t>
  </si>
  <si>
    <t>Sanitary Piping - 1963, 1988, 1999</t>
  </si>
  <si>
    <t>Original sanitary piping is in fair to poor condition and has exceeded it's useful life.  Replace all original sanitary piping.</t>
  </si>
  <si>
    <t>Domestic Water Piping - 1963, 1988, 1999</t>
  </si>
  <si>
    <t>Original domestic water piping is a mix of copper and galvanized and should be replaced with copper piping as it has exceeded its useful life.</t>
  </si>
  <si>
    <t>Domestic Water Heater - 1963, 1999, 2002</t>
  </si>
  <si>
    <t>75.1 MBH/98 Gallon Storage - 2018 with separate original 250 gallon storage tank.  The storage tank needs to be replaced.</t>
  </si>
  <si>
    <t>Domestic Water Heater - 1988</t>
  </si>
  <si>
    <t>40 Gallon Electric water heater should be replaced due to age.</t>
  </si>
  <si>
    <t>Plumbing Fixtures - 2002 Addition</t>
  </si>
  <si>
    <t>Plumbing Fixtures - 1963, 1988, 1999</t>
  </si>
  <si>
    <t>1 Custodial Sink need replaced/added.</t>
  </si>
  <si>
    <t>24 Water Closets, 7 Urinals, 4 Drinking Water Coolers, 21 Sinks, 3 Custodial Sinks, 2 Eyewash/Shower, 17 Showers, 4 Exterior Wall Hydrants need replaced/added.</t>
  </si>
  <si>
    <t>Exhaust Systems - 2002 Addition</t>
  </si>
  <si>
    <t>The toilet room and general exhaust fans were installed in 2002 and are in good condition.</t>
  </si>
  <si>
    <t xml:space="preserve">Temperature Controls </t>
  </si>
  <si>
    <t>Exhaust Systems - 1963, 1988, 1999</t>
  </si>
  <si>
    <t>Existing temperature controls consist a combination of pneumatic and DDC.  The system needs to be replaced completely.</t>
  </si>
  <si>
    <t>Boiler Plant</t>
  </si>
  <si>
    <t>Modular heating water boilers installed in 1998, should be replaced with new condensing heating water boilers.</t>
  </si>
  <si>
    <t>Heating Water Supply and Return System - 1963</t>
  </si>
  <si>
    <t>Heating Water Supply/Return System - 1988, 1999, 2002</t>
  </si>
  <si>
    <t>Consideration could be given to adding heating water systems to serve these areas of the building.</t>
  </si>
  <si>
    <t>Consideration could be given to replacing the VRF/Mini-Split cooling systems with a new chilled water system including (2) outdoor, air-cooled chillers, pumps, piping, specialties, etc. depending on what HVAC selection is made.</t>
  </si>
  <si>
    <t>Classroom Unit Ventilators/VRF/Mini-Splits - 1963</t>
  </si>
  <si>
    <t>The exisitng heating only classroom unit ventilators have exceeded their useful life and should be replaced with either new heating/cooling unit ventilators or new ducted HVAC system incorporating energy recovery to pre-treat outdoor air.  Consideration could be given to reuse the existing VRF/Mini-Splits and provide new 100% OA system to provide required outdoor air ventilation.</t>
  </si>
  <si>
    <t>Rooftop Units - 1988</t>
  </si>
  <si>
    <t>The exisitng rooftop units serving the 1988 addition have exceeded their useful life and should be replaced.</t>
  </si>
  <si>
    <t>Rooftop Units - 2002</t>
  </si>
  <si>
    <t>The VAV rooftop unit and VAV terminals were installed in 2002 and are in good condition.  Consideration should be given to replacing these units in the next 5-10 years due to age.</t>
  </si>
  <si>
    <t>Administration Unit</t>
  </si>
  <si>
    <t>The administration rooftop unit was installed in 2002 and is in good condition.  Consideration should be given to replacing this unit in the next 5-10 years due to age.</t>
  </si>
  <si>
    <t>Gymnasium Unit</t>
  </si>
  <si>
    <t>The exisitng heating and ventilating gymnasium air handling unit has exceeded its life and should be replaced with a new heating and cooling air handling unit.</t>
  </si>
  <si>
    <t>Black Steel and Galvanized piping, fin-tube, supplemental heat, insulation, specialties, etc. should be replaced with a new heating water system.</t>
  </si>
  <si>
    <t>Window/Portable Air-Conditioning Units</t>
  </si>
  <si>
    <t>The existing window air conditioning units are in fair condition, but are not very efficient.  They should be removed and replaced with chilled water systems or VRF/Mini-Splits.</t>
  </si>
  <si>
    <t>Music Area Units</t>
  </si>
  <si>
    <t>The exisitng heating and ventilating music air handling units have exceeded their life and should be replaced with new heating and cooling air handling units.</t>
  </si>
  <si>
    <t>The toilet room and general exhaust fans are original and should be replaced.</t>
  </si>
  <si>
    <t>New Generator (if sprinker piping is added)</t>
  </si>
  <si>
    <t>Generator, transfer switches, panels, &amp; wiring</t>
  </si>
  <si>
    <t>Newer existing to remain distribution panels (serving as switchgear). 1600A.</t>
  </si>
  <si>
    <t>Older 800A switchgear. Needs replaced.</t>
  </si>
  <si>
    <t xml:space="preserve">Older 800A distribution panel. Needs replaced. </t>
  </si>
  <si>
    <t>4' Direct T8 suspended fixtures. Replace with LED.</t>
  </si>
  <si>
    <t xml:space="preserve">   Gymnasium</t>
  </si>
  <si>
    <t>Metal halide high bay fixtures. Upgrade to LED.</t>
  </si>
  <si>
    <t>4' Direct/Indirect T8 suspended fixtures. Replace with LED.</t>
  </si>
  <si>
    <t>Shop Lights. Upgrade to LED.</t>
  </si>
  <si>
    <t>T8 Troffers. Upgrade all to LED.</t>
  </si>
  <si>
    <t>T8 troffers (18). T8 suspended direct/indirect lights (4). Upgrade to LED.</t>
  </si>
  <si>
    <t>Lighting Controls</t>
  </si>
  <si>
    <t>Low voltage wiring, occupancy sensors, etc.</t>
  </si>
  <si>
    <t>Receptacles - All other areas (average of 4 per area)</t>
  </si>
  <si>
    <t>Replacements circuits as needed for receptacles</t>
  </si>
  <si>
    <t>Provide new voice evacuation style as currently required by code.</t>
  </si>
  <si>
    <t>All exit signs and emergency lights should be replaced.</t>
  </si>
  <si>
    <t>Remove and replace concrete in the courtyard as part of the reconstruction of the 1988 addition.</t>
  </si>
  <si>
    <t>The data cabling in the building is currently a mixture of  Category 5E  and 6.  It is recommended that the cabling to support wireless access points be upgraded to shielded Category 6A to support higher bandwidth. This will allow the wireless network to support more wireless devices at higher speeds. It is also recommended that all the Category 5e cabling in the building be replaced with Category 6 cabling. This will also support higher bandwidth.</t>
  </si>
  <si>
    <t>Replace kitchen exhaust hood and cooler/freezer due to age and condition.</t>
  </si>
  <si>
    <t>May 9, 2019</t>
  </si>
  <si>
    <t>DRAFT</t>
  </si>
  <si>
    <t>x</t>
  </si>
  <si>
    <t>Replace non-code-compliant handrails/guardrails</t>
  </si>
  <si>
    <t>level</t>
  </si>
  <si>
    <t>Provide new guardrail and handrails to comply with the OBC.</t>
  </si>
  <si>
    <t>Interior stairwell closure</t>
  </si>
  <si>
    <t>Rework non-compliant stair</t>
  </si>
  <si>
    <t>Provide fire-rated closure around stair towers.</t>
  </si>
  <si>
    <t>Enclose open treads at stairways.</t>
  </si>
  <si>
    <t>Yellow Springs High School/McKinney Middle School</t>
  </si>
  <si>
    <t>Building Envelope (less 1988, see below)</t>
  </si>
  <si>
    <t>Building Interior (less 1988, see below)</t>
  </si>
  <si>
    <t>Building Accessibility (less 1988, see below)</t>
  </si>
  <si>
    <t>Hazardous Materials (less 1988, see below)</t>
  </si>
  <si>
    <t>Furnishings (less 1988, see below)</t>
  </si>
  <si>
    <t>Complete replacement of finishes and casework throughout facility</t>
  </si>
  <si>
    <t>Toilet partitions</t>
  </si>
  <si>
    <t>Toilet accessories</t>
  </si>
  <si>
    <t>Doors, frames, and hardware (non-ADA)</t>
  </si>
  <si>
    <t>Design Contingency (10%)</t>
  </si>
  <si>
    <t>Contractor General Conditions (5%)</t>
  </si>
  <si>
    <t>Project Contingency (7%)</t>
  </si>
  <si>
    <t>Phasing Costs (3%)</t>
  </si>
  <si>
    <t>Project Soft Costs (18%)</t>
  </si>
  <si>
    <t xml:space="preserve"> Critical </t>
  </si>
  <si>
    <t xml:space="preserve"> Priority </t>
  </si>
  <si>
    <t xml:space="preserve"> Deferred </t>
  </si>
  <si>
    <t xml:space="preserve"> Prioritization Category </t>
  </si>
  <si>
    <t xml:space="preserve"> 1. Critial - Life Safety, Code, Technology, Security </t>
  </si>
  <si>
    <t xml:space="preserve"> 2. Priority - Infrastructure, Maintenance, Roof, Envelope </t>
  </si>
  <si>
    <t xml:space="preserve"> 3. Deferred - Finishes, Furnishings, Fixtures </t>
  </si>
  <si>
    <t>Crack Seal, seal coat and pavement markings</t>
  </si>
  <si>
    <t>Concrete walks, ramps and steel handrails with plantings.</t>
  </si>
  <si>
    <t>To provide veritcal seperation between pedestrians and vehicles at the front entry and student drop off areas, the access drive must be lowered and a storm drianage system installed.</t>
  </si>
  <si>
    <t>Check (all phases)</t>
  </si>
  <si>
    <t>Total Est. of Probable Construction Costs</t>
  </si>
  <si>
    <t>Total Est. of Probable Project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</si>
</sst>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16">
    <font>
      <sz val="11"/>
      <color theme="1"/>
      <name val="Calibri"/>
      <family val="2"/>
      <scheme val="minor"/>
    </font>
    <font>
      <sz val="11"/>
      <color theme="1"/>
      <name val="Calibri"/>
      <family val="2"/>
      <scheme val="minor"/>
    </font>
    <font>
      <b/>
      <sz val="11"/>
      <color theme="1"/>
      <name val="Calibri"/>
      <family val="2"/>
      <scheme val="minor"/>
    </font>
    <font>
      <b/>
      <sz val="18"/>
      <color theme="1"/>
      <name val="Andale WT"/>
      <family val="2"/>
    </font>
    <font>
      <sz val="10"/>
      <name val="Arial"/>
      <family val="2"/>
    </font>
    <font>
      <b/>
      <sz val="10"/>
      <color theme="1"/>
      <name val="Andale WT"/>
      <family val="2"/>
    </font>
    <font>
      <sz val="10"/>
      <color theme="1"/>
      <name val="Andale WT"/>
      <family val="2"/>
    </font>
    <font>
      <sz val="14"/>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24"/>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b/>
      <i/>
      <sz val="3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3" tint="0.59996337778862885"/>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04">
    <xf numFmtId="0" fontId="0" fillId="0" borderId="0" xfId="0"/>
    <xf numFmtId="0" fontId="3" fillId="0" borderId="0" xfId="0" applyFont="1" applyAlignment="1">
      <alignment horizontal="left" vertical="center"/>
    </xf>
    <xf numFmtId="0" fontId="4" fillId="0" borderId="0" xfId="0" applyFont="1" applyFill="1" applyBorder="1" applyAlignment="1">
      <alignment horizontal="right"/>
    </xf>
    <xf numFmtId="0" fontId="5" fillId="0" borderId="1" xfId="0" applyFont="1" applyBorder="1" applyAlignment="1">
      <alignment horizontal="left" vertical="top"/>
    </xf>
    <xf numFmtId="0" fontId="0" fillId="0" borderId="1" xfId="0" applyBorder="1"/>
    <xf numFmtId="0" fontId="6" fillId="0" borderId="1" xfId="0" applyFont="1" applyBorder="1" applyAlignment="1">
      <alignment horizontal="left" vertical="top"/>
    </xf>
    <xf numFmtId="0" fontId="4" fillId="0" borderId="1" xfId="0" applyFont="1" applyBorder="1"/>
    <xf numFmtId="0" fontId="4" fillId="0" borderId="1" xfId="0" applyFont="1" applyFill="1" applyBorder="1"/>
    <xf numFmtId="0" fontId="2" fillId="0" borderId="1" xfId="0" applyFont="1" applyBorder="1"/>
    <xf numFmtId="0" fontId="2" fillId="0" borderId="1" xfId="0" applyFont="1" applyBorder="1" applyAlignment="1">
      <alignment horizontal="center"/>
    </xf>
    <xf numFmtId="164" fontId="0" fillId="0" borderId="1" xfId="1" applyNumberFormat="1" applyFont="1" applyBorder="1"/>
    <xf numFmtId="0" fontId="0" fillId="0" borderId="1" xfId="0" applyBorder="1" applyAlignment="1">
      <alignment wrapText="1"/>
    </xf>
    <xf numFmtId="44" fontId="0" fillId="0" borderId="1" xfId="2" applyFont="1" applyBorder="1"/>
    <xf numFmtId="164" fontId="0" fillId="0" borderId="1" xfId="0" applyNumberFormat="1" applyBorder="1"/>
    <xf numFmtId="0" fontId="0" fillId="0" borderId="1" xfId="0" applyFill="1" applyBorder="1" applyAlignment="1">
      <alignment wrapText="1"/>
    </xf>
    <xf numFmtId="0" fontId="0" fillId="0" borderId="0" xfId="0" applyAlignment="1">
      <alignment wrapText="1"/>
    </xf>
    <xf numFmtId="44" fontId="2" fillId="0" borderId="1" xfId="2" applyFont="1" applyBorder="1" applyAlignment="1">
      <alignment horizontal="right"/>
    </xf>
    <xf numFmtId="164" fontId="2" fillId="0" borderId="1" xfId="0" applyNumberFormat="1" applyFont="1" applyBorder="1"/>
    <xf numFmtId="0" fontId="0" fillId="0" borderId="0" xfId="0" applyAlignment="1">
      <alignment horizontal="right"/>
    </xf>
    <xf numFmtId="165" fontId="0" fillId="0" borderId="1" xfId="3" applyNumberFormat="1" applyFont="1" applyBorder="1"/>
    <xf numFmtId="0" fontId="0" fillId="0" borderId="0" xfId="0" applyAlignment="1">
      <alignment horizontal="right" wrapText="1"/>
    </xf>
    <xf numFmtId="165" fontId="0" fillId="0" borderId="4" xfId="3" applyNumberFormat="1" applyFont="1" applyFill="1" applyBorder="1"/>
    <xf numFmtId="0" fontId="0" fillId="0" borderId="0" xfId="0" applyFill="1" applyBorder="1" applyAlignment="1">
      <alignment horizontal="right"/>
    </xf>
    <xf numFmtId="164" fontId="0" fillId="0" borderId="0" xfId="0" applyNumberFormat="1"/>
    <xf numFmtId="3" fontId="0" fillId="0" borderId="1" xfId="0" applyNumberFormat="1" applyBorder="1" applyAlignment="1">
      <alignment horizontal="center"/>
    </xf>
    <xf numFmtId="0" fontId="0" fillId="0" borderId="1" xfId="0" applyBorder="1" applyAlignment="1">
      <alignment horizontal="center"/>
    </xf>
    <xf numFmtId="0" fontId="2" fillId="0" borderId="0" xfId="0" applyFont="1" applyAlignment="1">
      <alignment horizontal="right"/>
    </xf>
    <xf numFmtId="43" fontId="0" fillId="0" borderId="0" xfId="0" applyNumberFormat="1"/>
    <xf numFmtId="165" fontId="2" fillId="0" borderId="1" xfId="3" applyNumberFormat="1" applyFont="1" applyBorder="1" applyAlignment="1">
      <alignment horizontal="right"/>
    </xf>
    <xf numFmtId="0" fontId="2" fillId="0" borderId="3" xfId="0" applyFont="1" applyBorder="1" applyAlignment="1">
      <alignment horizontal="right"/>
    </xf>
    <xf numFmtId="0" fontId="0" fillId="2" borderId="1" xfId="0" applyFill="1" applyBorder="1"/>
    <xf numFmtId="0" fontId="0" fillId="0" borderId="1" xfId="0" applyFill="1" applyBorder="1"/>
    <xf numFmtId="164" fontId="0" fillId="0" borderId="1" xfId="1" applyNumberFormat="1" applyFont="1" applyFill="1" applyBorder="1"/>
    <xf numFmtId="43" fontId="0" fillId="0" borderId="1" xfId="1" applyNumberFormat="1" applyFont="1" applyFill="1" applyBorder="1"/>
    <xf numFmtId="0" fontId="0" fillId="0" borderId="0" xfId="0" applyFill="1"/>
    <xf numFmtId="0" fontId="0" fillId="0" borderId="4" xfId="0" applyBorder="1" applyAlignment="1">
      <alignment wrapText="1"/>
    </xf>
    <xf numFmtId="0" fontId="0" fillId="0" borderId="4" xfId="0" applyFill="1" applyBorder="1" applyAlignment="1">
      <alignment wrapText="1"/>
    </xf>
    <xf numFmtId="165" fontId="0" fillId="0" borderId="1" xfId="3" applyNumberFormat="1" applyFont="1" applyFill="1" applyBorder="1"/>
    <xf numFmtId="0" fontId="3" fillId="0" borderId="0" xfId="0" applyFont="1" applyAlignment="1">
      <alignment horizontal="center" vertical="center"/>
    </xf>
    <xf numFmtId="0" fontId="0" fillId="0" borderId="0" xfId="0"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3" fontId="0" fillId="0" borderId="1" xfId="0" applyNumberForma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xf>
    <xf numFmtId="43" fontId="0" fillId="0" borderId="1" xfId="0" applyNumberFormat="1" applyBorder="1"/>
    <xf numFmtId="0" fontId="7" fillId="0" borderId="0" xfId="0" applyFont="1"/>
    <xf numFmtId="0" fontId="7" fillId="0" borderId="0" xfId="0" quotePrefix="1" applyFont="1"/>
    <xf numFmtId="164" fontId="0" fillId="0" borderId="1" xfId="0" applyNumberFormat="1" applyBorder="1" applyAlignment="1">
      <alignment wrapText="1"/>
    </xf>
    <xf numFmtId="165" fontId="0" fillId="0" borderId="1" xfId="3" applyNumberFormat="1" applyFont="1" applyFill="1" applyBorder="1" applyAlignment="1">
      <alignment wrapText="1"/>
    </xf>
    <xf numFmtId="44" fontId="2" fillId="3" borderId="1" xfId="2" applyFont="1" applyFill="1" applyBorder="1" applyAlignment="1">
      <alignment horizontal="right"/>
    </xf>
    <xf numFmtId="164" fontId="2" fillId="3" borderId="1" xfId="0" applyNumberFormat="1" applyFont="1" applyFill="1" applyBorder="1"/>
    <xf numFmtId="44" fontId="2" fillId="4" borderId="1" xfId="2" applyFont="1" applyFill="1" applyBorder="1" applyAlignment="1">
      <alignment horizontal="right"/>
    </xf>
    <xf numFmtId="164" fontId="2" fillId="4" borderId="1" xfId="0" applyNumberFormat="1" applyFont="1" applyFill="1" applyBorder="1"/>
    <xf numFmtId="44" fontId="2" fillId="2" borderId="1" xfId="2" applyFont="1" applyFill="1" applyBorder="1" applyAlignment="1">
      <alignment horizontal="right"/>
    </xf>
    <xf numFmtId="164" fontId="2" fillId="2" borderId="1" xfId="0" applyNumberFormat="1" applyFont="1" applyFill="1" applyBorder="1"/>
    <xf numFmtId="0" fontId="0" fillId="3" borderId="1" xfId="0" applyFill="1" applyBorder="1" applyAlignment="1">
      <alignment wrapText="1"/>
    </xf>
    <xf numFmtId="0" fontId="0" fillId="4" borderId="1" xfId="0" applyFill="1" applyBorder="1"/>
    <xf numFmtId="165" fontId="0" fillId="0" borderId="1" xfId="3" applyNumberFormat="1" applyFont="1" applyFill="1" applyBorder="1" applyAlignment="1">
      <alignment horizontal="center"/>
    </xf>
    <xf numFmtId="166" fontId="2" fillId="0" borderId="1" xfId="2" applyNumberFormat="1" applyFont="1" applyBorder="1"/>
    <xf numFmtId="0" fontId="2" fillId="0" borderId="1" xfId="0" applyFont="1" applyFill="1" applyBorder="1"/>
    <xf numFmtId="0" fontId="0" fillId="0" borderId="1" xfId="0" applyFill="1" applyBorder="1" applyAlignment="1"/>
    <xf numFmtId="0" fontId="8" fillId="0" borderId="0" xfId="0" applyFont="1" applyAlignment="1">
      <alignment horizontal="right"/>
    </xf>
    <xf numFmtId="14" fontId="8" fillId="0" borderId="0" xfId="0" applyNumberFormat="1" applyFont="1"/>
    <xf numFmtId="0" fontId="0" fillId="0" borderId="2" xfId="0" applyBorder="1"/>
    <xf numFmtId="0" fontId="2" fillId="0" borderId="2" xfId="0" applyFont="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0" fillId="0" borderId="6" xfId="0" applyBorder="1"/>
    <xf numFmtId="0" fontId="0" fillId="0" borderId="7" xfId="0" applyBorder="1"/>
    <xf numFmtId="0" fontId="0" fillId="0" borderId="10" xfId="0" applyBorder="1"/>
    <xf numFmtId="0" fontId="0" fillId="0" borderId="11" xfId="0" applyBorder="1"/>
    <xf numFmtId="164" fontId="0" fillId="0" borderId="2" xfId="1" applyNumberFormat="1" applyFont="1" applyBorder="1"/>
    <xf numFmtId="0" fontId="2" fillId="0" borderId="6" xfId="0" applyFont="1" applyBorder="1" applyAlignment="1">
      <alignment horizontal="center"/>
    </xf>
    <xf numFmtId="0" fontId="2" fillId="0" borderId="7" xfId="0" applyFont="1" applyBorder="1" applyAlignment="1">
      <alignment horizontal="center"/>
    </xf>
    <xf numFmtId="0" fontId="0" fillId="0" borderId="2" xfId="0" applyFill="1" applyBorder="1"/>
    <xf numFmtId="164" fontId="0" fillId="0" borderId="2" xfId="0" applyNumberFormat="1" applyFill="1" applyBorder="1"/>
    <xf numFmtId="164" fontId="2" fillId="0" borderId="2" xfId="0" applyNumberFormat="1" applyFont="1" applyBorder="1"/>
    <xf numFmtId="0" fontId="0" fillId="0" borderId="6" xfId="0" applyFill="1" applyBorder="1"/>
    <xf numFmtId="0" fontId="0" fillId="0" borderId="7" xfId="0" applyFill="1" applyBorder="1"/>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9" fillId="0" borderId="7" xfId="0" applyFont="1" applyBorder="1" applyAlignment="1">
      <alignment horizontal="center" vertical="center"/>
    </xf>
    <xf numFmtId="0" fontId="10" fillId="0" borderId="7"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9" fillId="0" borderId="6" xfId="0" applyFont="1" applyBorder="1" applyAlignment="1">
      <alignment horizontal="center" vertical="center"/>
    </xf>
    <xf numFmtId="0" fontId="10" fillId="0" borderId="6" xfId="0" applyFont="1" applyBorder="1" applyAlignment="1">
      <alignment horizontal="center" vertical="center"/>
    </xf>
    <xf numFmtId="0" fontId="13" fillId="0" borderId="0" xfId="0" applyFont="1" applyAlignment="1">
      <alignment vertical="center"/>
    </xf>
    <xf numFmtId="0" fontId="12" fillId="0" borderId="0" xfId="0" applyFont="1"/>
    <xf numFmtId="0" fontId="13" fillId="0" borderId="0" xfId="0" applyFont="1"/>
    <xf numFmtId="0" fontId="14" fillId="0" borderId="0" xfId="0" applyFont="1"/>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6" fillId="0" borderId="1" xfId="0" applyFont="1" applyBorder="1" applyAlignment="1">
      <alignment horizontal="left" vertical="center"/>
    </xf>
    <xf numFmtId="0" fontId="2" fillId="0" borderId="0" xfId="0" applyFont="1"/>
    <xf numFmtId="42" fontId="0" fillId="0" borderId="0" xfId="0" applyNumberFormat="1"/>
    <xf numFmtId="42" fontId="4" fillId="0" borderId="0" xfId="0" applyNumberFormat="1" applyFont="1" applyFill="1" applyBorder="1" applyAlignment="1">
      <alignment horizontal="right"/>
    </xf>
    <xf numFmtId="42" fontId="0" fillId="0" borderId="2" xfId="0" applyNumberFormat="1" applyBorder="1"/>
    <xf numFmtId="42" fontId="2" fillId="0" borderId="2" xfId="0" applyNumberFormat="1" applyFont="1" applyBorder="1" applyAlignment="1">
      <alignment horizontal="center"/>
    </xf>
    <xf numFmtId="42" fontId="0" fillId="0" borderId="1" xfId="0" applyNumberFormat="1" applyBorder="1"/>
    <xf numFmtId="42" fontId="2" fillId="0" borderId="1" xfId="0" applyNumberFormat="1" applyFont="1" applyBorder="1"/>
    <xf numFmtId="0" fontId="2" fillId="0" borderId="2" xfId="0" applyFont="1" applyBorder="1" applyAlignment="1">
      <alignment horizontal="left"/>
    </xf>
    <xf numFmtId="166" fontId="2" fillId="0" borderId="0" xfId="2" applyNumberFormat="1" applyFont="1" applyBorder="1"/>
    <xf numFmtId="0" fontId="0" fillId="0" borderId="1" xfId="0" applyFont="1" applyBorder="1" applyAlignment="1">
      <alignment horizontal="right"/>
    </xf>
    <xf numFmtId="0" fontId="0" fillId="0" borderId="1" xfId="0" applyFont="1" applyBorder="1" applyAlignment="1">
      <alignment horizontal="left"/>
    </xf>
    <xf numFmtId="0" fontId="0" fillId="0" borderId="1" xfId="0" applyBorder="1" applyAlignment="1">
      <alignment horizontal="left" vertical="top" wrapText="1"/>
    </xf>
    <xf numFmtId="164" fontId="0" fillId="0" borderId="2" xfId="0" applyNumberFormat="1" applyBorder="1"/>
    <xf numFmtId="164" fontId="0" fillId="0" borderId="1" xfId="1" applyNumberFormat="1" applyFont="1" applyBorder="1" applyAlignment="1">
      <alignment horizontal="right"/>
    </xf>
    <xf numFmtId="4" fontId="0" fillId="0" borderId="1" xfId="0" applyNumberFormat="1" applyBorder="1" applyAlignment="1">
      <alignment horizontal="center" vertical="center"/>
    </xf>
    <xf numFmtId="0" fontId="2" fillId="0" borderId="1" xfId="0" applyFont="1" applyBorder="1" applyAlignment="1">
      <alignment horizontal="center" wrapText="1"/>
    </xf>
    <xf numFmtId="0" fontId="0" fillId="0" borderId="3" xfId="0" applyBorder="1" applyAlignment="1">
      <alignment horizontal="left" wrapText="1"/>
    </xf>
    <xf numFmtId="164" fontId="0" fillId="0" borderId="1" xfId="1" applyNumberFormat="1" applyFont="1" applyBorder="1" applyAlignment="1">
      <alignment horizontal="center"/>
    </xf>
    <xf numFmtId="0" fontId="0" fillId="0" borderId="0" xfId="0"/>
    <xf numFmtId="10" fontId="0" fillId="0" borderId="0" xfId="0" applyNumberFormat="1"/>
    <xf numFmtId="42" fontId="0" fillId="0" borderId="0" xfId="0" applyNumberFormat="1"/>
    <xf numFmtId="3" fontId="0" fillId="0" borderId="0" xfId="0" applyNumberFormat="1"/>
    <xf numFmtId="44" fontId="0" fillId="0" borderId="0" xfId="0" applyNumberFormat="1"/>
    <xf numFmtId="42" fontId="0" fillId="0" borderId="2" xfId="0" applyNumberFormat="1" applyFill="1" applyBorder="1"/>
    <xf numFmtId="0" fontId="9" fillId="0" borderId="7" xfId="0" applyFont="1" applyFill="1" applyBorder="1" applyAlignment="1">
      <alignment horizontal="center"/>
    </xf>
    <xf numFmtId="44" fontId="4" fillId="0" borderId="1" xfId="0" applyNumberFormat="1" applyFont="1" applyFill="1" applyBorder="1"/>
    <xf numFmtId="44" fontId="2" fillId="0" borderId="1" xfId="0" applyNumberFormat="1" applyFont="1" applyBorder="1" applyAlignment="1">
      <alignment horizontal="center"/>
    </xf>
    <xf numFmtId="44" fontId="0" fillId="0" borderId="1" xfId="2" applyNumberFormat="1" applyFont="1" applyBorder="1"/>
    <xf numFmtId="44" fontId="2" fillId="0" borderId="1" xfId="2" applyNumberFormat="1" applyFont="1" applyBorder="1" applyAlignment="1">
      <alignment horizontal="right"/>
    </xf>
    <xf numFmtId="0" fontId="0" fillId="0" borderId="1" xfId="0" applyFill="1" applyBorder="1" applyAlignment="1">
      <alignment wrapText="1"/>
    </xf>
    <xf numFmtId="0" fontId="0" fillId="0" borderId="1" xfId="0" applyFill="1" applyBorder="1"/>
    <xf numFmtId="164" fontId="0" fillId="0" borderId="1" xfId="1" applyNumberFormat="1" applyFont="1" applyFill="1" applyBorder="1"/>
    <xf numFmtId="44" fontId="0" fillId="0" borderId="1" xfId="2" applyNumberFormat="1" applyFont="1" applyFill="1" applyBorder="1"/>
    <xf numFmtId="42" fontId="0" fillId="0" borderId="2" xfId="1" applyNumberFormat="1" applyFont="1" applyFill="1" applyBorder="1"/>
    <xf numFmtId="0" fontId="0" fillId="5" borderId="1" xfId="0" applyFill="1" applyBorder="1"/>
    <xf numFmtId="164" fontId="0" fillId="5" borderId="1" xfId="1" applyNumberFormat="1" applyFont="1" applyFill="1" applyBorder="1"/>
    <xf numFmtId="0" fontId="0" fillId="5" borderId="1" xfId="0" applyFill="1" applyBorder="1" applyAlignment="1">
      <alignment wrapText="1"/>
    </xf>
    <xf numFmtId="43" fontId="0" fillId="5" borderId="1" xfId="1" applyNumberFormat="1" applyFont="1" applyFill="1" applyBorder="1"/>
    <xf numFmtId="164" fontId="0" fillId="5" borderId="2" xfId="0" applyNumberFormat="1" applyFill="1" applyBorder="1"/>
    <xf numFmtId="44" fontId="0" fillId="0" borderId="1" xfId="0" applyNumberFormat="1" applyFill="1" applyBorder="1"/>
    <xf numFmtId="42" fontId="0" fillId="0" borderId="0" xfId="0" applyNumberFormat="1" applyFill="1"/>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8" fontId="0" fillId="0" borderId="1" xfId="2" applyNumberFormat="1" applyFont="1" applyFill="1" applyBorder="1"/>
    <xf numFmtId="6" fontId="0" fillId="0" borderId="2" xfId="1" applyNumberFormat="1" applyFont="1" applyFill="1" applyBorder="1"/>
    <xf numFmtId="0" fontId="0" fillId="0" borderId="0" xfId="0"/>
    <xf numFmtId="0" fontId="2" fillId="0" borderId="1" xfId="0" applyFont="1" applyBorder="1"/>
    <xf numFmtId="0" fontId="0" fillId="0" borderId="1" xfId="0" applyFill="1" applyBorder="1" applyAlignment="1">
      <alignment wrapText="1"/>
    </xf>
    <xf numFmtId="0" fontId="0" fillId="0" borderId="1" xfId="0" applyFill="1" applyBorder="1"/>
    <xf numFmtId="164" fontId="0" fillId="0" borderId="1" xfId="1" applyNumberFormat="1" applyFont="1" applyFill="1" applyBorder="1"/>
    <xf numFmtId="42" fontId="0" fillId="0" borderId="0" xfId="0" applyNumberFormat="1"/>
    <xf numFmtId="0" fontId="0" fillId="0" borderId="0" xfId="0"/>
    <xf numFmtId="0" fontId="0" fillId="0" borderId="0" xfId="0" applyAlignment="1">
      <alignment wrapText="1"/>
    </xf>
    <xf numFmtId="0" fontId="2" fillId="0" borderId="0" xfId="0" applyFont="1"/>
    <xf numFmtId="6" fontId="0" fillId="0" borderId="1" xfId="0" applyNumberFormat="1" applyBorder="1"/>
    <xf numFmtId="0" fontId="2" fillId="0" borderId="21" xfId="0" applyFont="1" applyBorder="1"/>
    <xf numFmtId="0" fontId="2" fillId="0" borderId="22" xfId="0" applyFont="1" applyBorder="1"/>
    <xf numFmtId="0" fontId="2" fillId="0" borderId="23" xfId="0" applyFont="1" applyBorder="1"/>
    <xf numFmtId="6" fontId="0" fillId="0" borderId="19" xfId="0" applyNumberFormat="1" applyBorder="1" applyAlignment="1">
      <alignment wrapText="1"/>
    </xf>
    <xf numFmtId="165" fontId="0" fillId="0" borderId="1" xfId="3" applyNumberFormat="1" applyFont="1" applyBorder="1"/>
    <xf numFmtId="165" fontId="0" fillId="0" borderId="4" xfId="3" applyNumberFormat="1" applyFont="1" applyFill="1" applyBorder="1"/>
    <xf numFmtId="42" fontId="0" fillId="0" borderId="0" xfId="0" applyNumberFormat="1"/>
    <xf numFmtId="42" fontId="0" fillId="0" borderId="1" xfId="0" applyNumberFormat="1" applyBorder="1"/>
    <xf numFmtId="42" fontId="0" fillId="0" borderId="19" xfId="0" applyNumberFormat="1" applyBorder="1"/>
    <xf numFmtId="42" fontId="0" fillId="0" borderId="20" xfId="0" applyNumberFormat="1" applyBorder="1"/>
    <xf numFmtId="42" fontId="2" fillId="0" borderId="18" xfId="0" applyNumberFormat="1" applyFont="1" applyBorder="1"/>
    <xf numFmtId="42" fontId="0" fillId="0" borderId="4" xfId="0" applyNumberFormat="1" applyBorder="1"/>
    <xf numFmtId="0" fontId="2" fillId="0" borderId="0" xfId="0" applyFont="1" applyFill="1" applyBorder="1"/>
    <xf numFmtId="164" fontId="0" fillId="0" borderId="2" xfId="1" applyNumberFormat="1" applyFont="1" applyFill="1" applyBorder="1"/>
    <xf numFmtId="0" fontId="15" fillId="0" borderId="0" xfId="0" applyFont="1" applyAlignment="1">
      <alignment horizontal="right"/>
    </xf>
    <xf numFmtId="0" fontId="8" fillId="0" borderId="8" xfId="0" applyFont="1" applyBorder="1" applyAlignment="1">
      <alignment horizontal="center"/>
    </xf>
    <xf numFmtId="0" fontId="8" fillId="0" borderId="9"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2" fillId="0" borderId="2" xfId="0" applyFont="1" applyBorder="1" applyAlignment="1">
      <alignment horizontal="left"/>
    </xf>
    <xf numFmtId="0" fontId="2" fillId="0" borderId="3" xfId="0" applyFont="1" applyBorder="1" applyAlignment="1">
      <alignment horizontal="left"/>
    </xf>
    <xf numFmtId="0" fontId="4" fillId="0" borderId="2" xfId="0" applyFont="1" applyFill="1" applyBorder="1"/>
    <xf numFmtId="0" fontId="4" fillId="0" borderId="5" xfId="0" applyFont="1" applyFill="1" applyBorder="1"/>
    <xf numFmtId="0" fontId="4" fillId="0" borderId="2" xfId="0" applyFont="1" applyBorder="1"/>
    <xf numFmtId="0" fontId="4" fillId="0" borderId="3" xfId="0" applyFont="1" applyBorder="1"/>
    <xf numFmtId="0" fontId="4" fillId="0" borderId="3" xfId="0" applyFont="1" applyFill="1" applyBorder="1"/>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0" fillId="3" borderId="0" xfId="0" applyFill="1"/>
    <xf numFmtId="0" fontId="2" fillId="3" borderId="1" xfId="0" applyFont="1" applyFill="1" applyBorder="1" applyAlignment="1">
      <alignment horizontal="center"/>
    </xf>
    <xf numFmtId="0" fontId="2" fillId="3" borderId="1" xfId="0" applyFont="1" applyFill="1" applyBorder="1"/>
    <xf numFmtId="0" fontId="0" fillId="3" borderId="1" xfId="0" applyFill="1" applyBorder="1"/>
    <xf numFmtId="42" fontId="0" fillId="3" borderId="1" xfId="0" applyNumberFormat="1" applyFill="1" applyBorder="1"/>
    <xf numFmtId="6" fontId="0" fillId="3" borderId="1" xfId="0" applyNumberFormat="1" applyFill="1" applyBorder="1"/>
    <xf numFmtId="0" fontId="0" fillId="3" borderId="19" xfId="0" applyFill="1" applyBorder="1"/>
    <xf numFmtId="6" fontId="2" fillId="3" borderId="18" xfId="0" applyNumberFormat="1" applyFont="1" applyFill="1" applyBorder="1"/>
    <xf numFmtId="6" fontId="0" fillId="3" borderId="20" xfId="0" applyNumberFormat="1" applyFill="1" applyBorder="1"/>
    <xf numFmtId="6" fontId="0" fillId="3" borderId="19" xfId="0" applyNumberFormat="1" applyFill="1" applyBorder="1"/>
    <xf numFmtId="6" fontId="0" fillId="3" borderId="4" xfId="0" applyNumberFormat="1" applyFill="1" applyBorder="1"/>
    <xf numFmtId="0" fontId="2" fillId="3" borderId="21" xfId="0" applyFont="1" applyFill="1" applyBorder="1" applyAlignment="1">
      <alignment horizontal="center"/>
    </xf>
    <xf numFmtId="0" fontId="2" fillId="3" borderId="22" xfId="0" applyFont="1" applyFill="1" applyBorder="1"/>
    <xf numFmtId="0" fontId="2" fillId="3" borderId="23" xfId="0" applyFont="1" applyFill="1" applyBorder="1"/>
    <xf numFmtId="0" fontId="0" fillId="3" borderId="20" xfId="0" applyFill="1" applyBorder="1"/>
    <xf numFmtId="42" fontId="0" fillId="3" borderId="20" xfId="0" applyNumberFormat="1" applyFill="1" applyBorder="1"/>
    <xf numFmtId="164" fontId="0" fillId="3" borderId="1" xfId="0" applyNumberFormat="1" applyFill="1" applyBorder="1"/>
    <xf numFmtId="8" fontId="0" fillId="3" borderId="4" xfId="0" applyNumberFormat="1" applyFill="1" applyBorder="1"/>
    <xf numFmtId="0" fontId="2" fillId="3" borderId="22" xfId="0" applyFont="1" applyFill="1" applyBorder="1" applyAlignment="1">
      <alignment horizontal="center"/>
    </xf>
    <xf numFmtId="164" fontId="0" fillId="3" borderId="20" xfId="0" applyNumberForma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19051</xdr:colOff>
      <xdr:row>5</xdr:row>
      <xdr:rowOff>180975</xdr:rowOff>
    </xdr:from>
    <xdr:to>
      <xdr:col>4</xdr:col>
      <xdr:colOff>876301</xdr:colOff>
      <xdr:row>7</xdr:row>
      <xdr:rowOff>17907</xdr:rowOff>
    </xdr:to>
    <xdr:sp macro="" textlink="">
      <xdr:nvSpPr>
        <xdr:cNvPr id="2" name="Right Arrow 1"/>
        <xdr:cNvSpPr/>
      </xdr:nvSpPr>
      <xdr:spPr>
        <a:xfrm>
          <a:off x="4733926" y="1428750"/>
          <a:ext cx="857250" cy="2941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9001.00/Production/Electrical/Yellow%20Springs%20HSMMS%20Physical%20Assessment%20-%20Electr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rch"/>
      <sheetName val="HVAC"/>
      <sheetName val="Elec"/>
      <sheetName val="Tech"/>
      <sheetName val="Site"/>
    </sheetNames>
    <sheetDataSet>
      <sheetData sheetId="0"/>
      <sheetData sheetId="1">
        <row r="50">
          <cell r="G50">
            <v>0.1</v>
          </cell>
        </row>
        <row r="51">
          <cell r="G51">
            <v>0.05</v>
          </cell>
        </row>
        <row r="52">
          <cell r="G52">
            <v>7.0000000000000007E-2</v>
          </cell>
        </row>
        <row r="53">
          <cell r="G53">
            <v>0.03</v>
          </cell>
        </row>
        <row r="55">
          <cell r="G55">
            <v>0.18</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60" zoomScaleNormal="100" workbookViewId="0">
      <selection activeCell="F20" sqref="F20"/>
    </sheetView>
  </sheetViews>
  <sheetFormatPr defaultRowHeight="15"/>
  <cols>
    <col min="1" max="1" width="4.28515625" customWidth="1"/>
    <col min="2" max="2" width="42.28515625" customWidth="1"/>
    <col min="3" max="3" width="12.140625" customWidth="1"/>
    <col min="4" max="4" width="19.140625" customWidth="1"/>
    <col min="5" max="5" width="13.7109375" customWidth="1"/>
    <col min="6" max="6" width="18.42578125" customWidth="1"/>
    <col min="7" max="7" width="16.7109375" customWidth="1"/>
    <col min="9" max="9" width="9.7109375" customWidth="1"/>
    <col min="10" max="12" width="19.140625" customWidth="1"/>
  </cols>
  <sheetData>
    <row r="1" spans="1:12" ht="23.25">
      <c r="B1" s="1" t="s">
        <v>88</v>
      </c>
      <c r="F1" s="168" t="s">
        <v>269</v>
      </c>
      <c r="G1" s="168"/>
    </row>
    <row r="2" spans="1:12" ht="18.75">
      <c r="A2" s="48" t="s">
        <v>105</v>
      </c>
      <c r="F2" s="168"/>
      <c r="G2" s="168"/>
    </row>
    <row r="3" spans="1:12" ht="18.75">
      <c r="A3" s="48" t="s">
        <v>278</v>
      </c>
    </row>
    <row r="4" spans="1:12" ht="18.75">
      <c r="A4" s="48" t="s">
        <v>89</v>
      </c>
    </row>
    <row r="5" spans="1:12" ht="19.5" thickBot="1">
      <c r="A5" s="49" t="s">
        <v>268</v>
      </c>
      <c r="B5" s="48"/>
      <c r="D5" s="64" t="s">
        <v>96</v>
      </c>
      <c r="E5" s="65" t="s">
        <v>106</v>
      </c>
    </row>
    <row r="6" spans="1:12" ht="15.75" thickBot="1">
      <c r="I6" s="150"/>
      <c r="J6" s="154" t="s">
        <v>293</v>
      </c>
      <c r="K6" s="155" t="s">
        <v>294</v>
      </c>
      <c r="L6" s="156" t="s">
        <v>295</v>
      </c>
    </row>
    <row r="7" spans="1:12" ht="21" customHeight="1">
      <c r="B7" s="58"/>
      <c r="C7" s="52" t="s">
        <v>98</v>
      </c>
      <c r="D7" s="53">
        <f>SUM(G7:G11)</f>
        <v>13422616.949444445</v>
      </c>
      <c r="F7" s="8" t="s">
        <v>90</v>
      </c>
      <c r="G7" s="61">
        <f>Arch!H47</f>
        <v>7324565.5449999999</v>
      </c>
      <c r="I7" s="150"/>
      <c r="J7" s="163">
        <f>Arch!L47</f>
        <v>2898522.6150000002</v>
      </c>
      <c r="K7" s="163">
        <f>Arch!M47</f>
        <v>2507727.85</v>
      </c>
      <c r="L7" s="163">
        <f>Arch!N47</f>
        <v>1918315.0799999998</v>
      </c>
    </row>
    <row r="8" spans="1:12" ht="21" customHeight="1">
      <c r="B8" s="18" t="s">
        <v>38</v>
      </c>
      <c r="C8" s="19">
        <v>0.1</v>
      </c>
      <c r="D8" s="13">
        <f>D7*C8</f>
        <v>1342261.6949444446</v>
      </c>
      <c r="F8" s="8" t="s">
        <v>91</v>
      </c>
      <c r="G8" s="61">
        <f>HVAC!H40</f>
        <v>3655297.3</v>
      </c>
      <c r="I8" s="150"/>
      <c r="J8" s="153">
        <f>HVAC!L40</f>
        <v>321916</v>
      </c>
      <c r="K8" s="153">
        <f>HVAC!M40</f>
        <v>3142207.8</v>
      </c>
      <c r="L8" s="153">
        <f>HVAC!N40</f>
        <v>191173.5</v>
      </c>
    </row>
    <row r="9" spans="1:12" ht="21" customHeight="1">
      <c r="B9" s="18" t="s">
        <v>18</v>
      </c>
      <c r="C9" s="19">
        <v>0.05</v>
      </c>
      <c r="D9" s="13">
        <f>D7*C9</f>
        <v>671130.84747222229</v>
      </c>
      <c r="F9" s="8" t="s">
        <v>40</v>
      </c>
      <c r="G9" s="61">
        <f>Elec!H45</f>
        <v>1249330</v>
      </c>
      <c r="I9" s="150"/>
      <c r="J9" s="153">
        <f>Elec!L45</f>
        <v>222687</v>
      </c>
      <c r="K9" s="153">
        <f>Elec!M45</f>
        <v>424567</v>
      </c>
      <c r="L9" s="153">
        <f>Elec!N45</f>
        <v>602076</v>
      </c>
    </row>
    <row r="10" spans="1:12" ht="21" customHeight="1">
      <c r="B10" s="18" t="s">
        <v>19</v>
      </c>
      <c r="C10" s="19">
        <v>7.0000000000000007E-2</v>
      </c>
      <c r="D10" s="13">
        <f>D7*C10</f>
        <v>939583.18646111118</v>
      </c>
      <c r="F10" s="8" t="s">
        <v>70</v>
      </c>
      <c r="G10" s="61">
        <f>Tech!H29</f>
        <v>600999.46</v>
      </c>
      <c r="I10" s="150"/>
      <c r="J10" s="153">
        <f>Tech!L29</f>
        <v>279841.66000000003</v>
      </c>
      <c r="K10" s="153">
        <f>Tech!M29</f>
        <v>261466.19999999998</v>
      </c>
      <c r="L10" s="153">
        <f>Tech!N29</f>
        <v>59691.600000000006</v>
      </c>
    </row>
    <row r="11" spans="1:12" s="15" customFormat="1" ht="21" customHeight="1" thickBot="1">
      <c r="B11" s="20" t="s">
        <v>20</v>
      </c>
      <c r="C11" s="51">
        <v>0.03</v>
      </c>
      <c r="D11" s="50">
        <f>D7*C11</f>
        <v>402678.50848333334</v>
      </c>
      <c r="F11" s="8" t="s">
        <v>107</v>
      </c>
      <c r="G11" s="61">
        <f>Site!H28</f>
        <v>592424.64444444445</v>
      </c>
      <c r="I11" s="151"/>
      <c r="J11" s="157">
        <f>Site!L28</f>
        <v>276485.94444444444</v>
      </c>
      <c r="K11" s="157">
        <f>Site!M28</f>
        <v>284127.19999999995</v>
      </c>
      <c r="L11" s="157">
        <f>Site!N28</f>
        <v>31811.5</v>
      </c>
    </row>
    <row r="12" spans="1:12" ht="21" customHeight="1" thickBot="1">
      <c r="B12" s="59"/>
      <c r="C12" s="54" t="s">
        <v>99</v>
      </c>
      <c r="D12" s="55">
        <f>SUM(D7:D11)</f>
        <v>16778271.186805557</v>
      </c>
      <c r="F12" s="152" t="s">
        <v>98</v>
      </c>
      <c r="G12" s="105"/>
      <c r="J12" s="164">
        <f>SUM(J7:J11)</f>
        <v>3999453.2194444449</v>
      </c>
      <c r="K12" s="164">
        <f t="shared" ref="K12:L12" si="0">SUM(K7:K11)</f>
        <v>6620096.0500000007</v>
      </c>
      <c r="L12" s="164">
        <f t="shared" si="0"/>
        <v>2803067.68</v>
      </c>
    </row>
    <row r="13" spans="1:12" ht="21" customHeight="1">
      <c r="B13" s="22" t="s">
        <v>22</v>
      </c>
      <c r="C13" s="37">
        <v>0.18</v>
      </c>
      <c r="D13" s="13">
        <f>D12*C13</f>
        <v>3020088.8136250004</v>
      </c>
      <c r="F13" s="150" t="s">
        <v>288</v>
      </c>
      <c r="J13" s="163">
        <f>J12*0.1</f>
        <v>399945.3219444445</v>
      </c>
      <c r="K13" s="163">
        <f>K12*0.1</f>
        <v>662009.6050000001</v>
      </c>
      <c r="L13" s="163">
        <f>L12*0.1</f>
        <v>280306.76800000004</v>
      </c>
    </row>
    <row r="14" spans="1:12" ht="21" customHeight="1">
      <c r="B14" s="22"/>
      <c r="C14" s="60"/>
      <c r="D14" s="13"/>
      <c r="F14" s="150" t="s">
        <v>289</v>
      </c>
      <c r="J14" s="161">
        <f>J12*0.05</f>
        <v>199972.66097222225</v>
      </c>
      <c r="K14" s="161">
        <f>K12*0.05</f>
        <v>331004.80250000005</v>
      </c>
      <c r="L14" s="161">
        <f>L12*0.05</f>
        <v>140153.38400000002</v>
      </c>
    </row>
    <row r="15" spans="1:12" ht="21" customHeight="1">
      <c r="B15" s="30"/>
      <c r="C15" s="56" t="s">
        <v>97</v>
      </c>
      <c r="D15" s="57">
        <f>SUM(D12:D14)</f>
        <v>19798360.000430558</v>
      </c>
      <c r="F15" s="150" t="s">
        <v>290</v>
      </c>
      <c r="J15" s="161">
        <f>J12*0.07</f>
        <v>279961.72536111117</v>
      </c>
      <c r="K15" s="161">
        <f>K12*0.07</f>
        <v>463406.72350000008</v>
      </c>
      <c r="L15" s="161">
        <f>L12*0.07</f>
        <v>196214.73760000002</v>
      </c>
    </row>
    <row r="16" spans="1:12" ht="21" customHeight="1" thickBot="1">
      <c r="F16" s="150" t="s">
        <v>291</v>
      </c>
      <c r="J16" s="162">
        <f>J12*0.03</f>
        <v>119983.59658333335</v>
      </c>
      <c r="K16" s="162">
        <f>K12*0.03</f>
        <v>198602.88150000002</v>
      </c>
      <c r="L16" s="162">
        <f>L12*0.03</f>
        <v>84092.030400000003</v>
      </c>
    </row>
    <row r="17" spans="2:12" ht="21" customHeight="1" thickBot="1">
      <c r="B17" s="115" t="s">
        <v>153</v>
      </c>
      <c r="C17" s="115"/>
      <c r="D17" s="118">
        <v>74229</v>
      </c>
      <c r="F17" s="152" t="s">
        <v>304</v>
      </c>
      <c r="J17" s="164">
        <f>SUM(J12:J16)</f>
        <v>4999316.5243055578</v>
      </c>
      <c r="K17" s="164">
        <f t="shared" ref="K17:L17" si="1">SUM(K12:K16)</f>
        <v>8275120.0625000019</v>
      </c>
      <c r="L17" s="164">
        <f t="shared" si="1"/>
        <v>3503834.6000000006</v>
      </c>
    </row>
    <row r="18" spans="2:12" ht="15.75" thickBot="1">
      <c r="F18" s="150" t="s">
        <v>292</v>
      </c>
      <c r="J18" s="165">
        <f>J17*0.18</f>
        <v>899876.97437500034</v>
      </c>
      <c r="K18" s="165">
        <f>K17*0.18</f>
        <v>1489521.6112500003</v>
      </c>
      <c r="L18" s="165">
        <f>L17*0.18</f>
        <v>630690.22800000012</v>
      </c>
    </row>
    <row r="19" spans="2:12" ht="15.75" thickBot="1">
      <c r="B19" s="115" t="s">
        <v>154</v>
      </c>
      <c r="C19" s="115"/>
      <c r="D19" s="117">
        <f>D15</f>
        <v>19798360.000430558</v>
      </c>
      <c r="F19" s="152" t="s">
        <v>305</v>
      </c>
      <c r="J19" s="164">
        <f>SUM(J17:J18)</f>
        <v>5899193.4986805581</v>
      </c>
      <c r="K19" s="164">
        <f t="shared" ref="K19:L19" si="2">SUM(K17:K18)</f>
        <v>9764641.6737500019</v>
      </c>
      <c r="L19" s="164">
        <f t="shared" si="2"/>
        <v>4134524.8280000007</v>
      </c>
    </row>
    <row r="20" spans="2:12">
      <c r="B20" s="115"/>
      <c r="C20" s="115"/>
      <c r="D20" s="117"/>
    </row>
    <row r="21" spans="2:12">
      <c r="B21" s="115" t="s">
        <v>155</v>
      </c>
      <c r="C21" s="115"/>
      <c r="D21" s="119">
        <v>258.56</v>
      </c>
      <c r="F21" s="166" t="s">
        <v>303</v>
      </c>
      <c r="J21" s="160">
        <f>SUM(J19:L19)</f>
        <v>19798360.000430562</v>
      </c>
    </row>
    <row r="22" spans="2:12">
      <c r="B22" s="115"/>
      <c r="C22" s="115"/>
      <c r="D22" s="117"/>
    </row>
    <row r="23" spans="2:12">
      <c r="B23" s="115" t="s">
        <v>156</v>
      </c>
      <c r="C23" s="115"/>
      <c r="D23" s="117">
        <f>D17*D21</f>
        <v>19192650.239999998</v>
      </c>
    </row>
    <row r="25" spans="2:12">
      <c r="B25" s="115" t="s">
        <v>157</v>
      </c>
      <c r="C25" s="115"/>
      <c r="D25" s="116">
        <f>D19/D23</f>
        <v>1.0315594643186996</v>
      </c>
    </row>
  </sheetData>
  <mergeCells count="1">
    <mergeCell ref="F1:G2"/>
  </mergeCells>
  <pageMargins left="0.7" right="0.7" top="0.75" bottom="0.75" header="0.3" footer="0.3"/>
  <pageSetup paperSize="3" scale="60" orientation="landscape" r:id="rId1"/>
  <headerFooter scaleWithDoc="0">
    <oddHeader>&amp;R&amp;G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view="pageBreakPreview" topLeftCell="A16" zoomScale="60" zoomScaleNormal="93" workbookViewId="0">
      <selection activeCell="B44" sqref="B44"/>
    </sheetView>
  </sheetViews>
  <sheetFormatPr defaultRowHeight="15"/>
  <cols>
    <col min="1" max="1" width="2.42578125" style="97" customWidth="1"/>
    <col min="2" max="2" width="45.85546875" customWidth="1"/>
    <col min="3" max="3" width="12.7109375" customWidth="1"/>
    <col min="4" max="4" width="4.7109375" customWidth="1"/>
    <col min="5" max="5" width="54.85546875" customWidth="1"/>
    <col min="6" max="6" width="15.42578125" customWidth="1"/>
    <col min="7" max="7" width="14.140625" style="119" customWidth="1"/>
    <col min="8" max="8" width="17.42578125" style="98" customWidth="1"/>
    <col min="9" max="10" width="0" hidden="1" customWidth="1"/>
    <col min="11" max="11" width="5.28515625" customWidth="1"/>
    <col min="12" max="14" width="18.140625" style="184" customWidth="1"/>
  </cols>
  <sheetData>
    <row r="1" spans="1:14" ht="23.25">
      <c r="B1" s="1" t="s">
        <v>0</v>
      </c>
      <c r="C1" s="1"/>
      <c r="D1" s="1"/>
      <c r="E1" s="1"/>
      <c r="F1" s="1"/>
    </row>
    <row r="2" spans="1:14" ht="23.25">
      <c r="B2" s="1"/>
      <c r="C2" s="1"/>
      <c r="D2" s="1"/>
      <c r="E2" s="1"/>
      <c r="H2" s="99" t="s">
        <v>1</v>
      </c>
    </row>
    <row r="3" spans="1:14">
      <c r="A3" s="3" t="s">
        <v>111</v>
      </c>
      <c r="B3" s="4"/>
      <c r="C3" s="5" t="s">
        <v>108</v>
      </c>
      <c r="D3" s="5"/>
      <c r="E3" s="5"/>
      <c r="F3" s="4"/>
      <c r="G3" s="177" t="s">
        <v>3</v>
      </c>
      <c r="H3" s="178"/>
      <c r="L3" s="184" t="s">
        <v>296</v>
      </c>
    </row>
    <row r="4" spans="1:14">
      <c r="A4" s="3" t="s">
        <v>112</v>
      </c>
      <c r="B4" s="4"/>
      <c r="C4" s="5" t="s">
        <v>110</v>
      </c>
      <c r="D4" s="5"/>
      <c r="E4" s="5"/>
      <c r="F4" s="4"/>
      <c r="G4" s="177" t="s">
        <v>5</v>
      </c>
      <c r="H4" s="178"/>
      <c r="L4" s="184" t="s">
        <v>297</v>
      </c>
    </row>
    <row r="5" spans="1:14">
      <c r="A5" s="3" t="s">
        <v>113</v>
      </c>
      <c r="B5" s="4"/>
      <c r="C5" s="5" t="s">
        <v>110</v>
      </c>
      <c r="D5" s="5"/>
      <c r="E5" s="5"/>
      <c r="F5" s="4"/>
      <c r="G5" s="177" t="s">
        <v>7</v>
      </c>
      <c r="H5" s="178"/>
      <c r="L5" s="184" t="s">
        <v>298</v>
      </c>
    </row>
    <row r="6" spans="1:14" ht="15.75" thickBot="1">
      <c r="A6" s="8" t="s">
        <v>25</v>
      </c>
      <c r="B6" s="4"/>
      <c r="C6" s="114">
        <f>Summary!D17</f>
        <v>74229</v>
      </c>
      <c r="D6" s="4" t="s">
        <v>14</v>
      </c>
      <c r="E6" s="4"/>
      <c r="F6" s="4"/>
      <c r="G6" s="175" t="s">
        <v>8</v>
      </c>
      <c r="H6" s="179"/>
      <c r="L6" s="184" t="s">
        <v>299</v>
      </c>
    </row>
    <row r="7" spans="1:14" ht="15.75" thickTop="1">
      <c r="A7" s="8"/>
      <c r="B7" s="4"/>
      <c r="C7" s="4"/>
      <c r="D7" s="4"/>
      <c r="E7" s="4"/>
      <c r="F7" s="4"/>
      <c r="G7" s="175" t="s">
        <v>94</v>
      </c>
      <c r="H7" s="176"/>
      <c r="I7" s="169" t="s">
        <v>100</v>
      </c>
      <c r="J7" s="170"/>
    </row>
    <row r="8" spans="1:14">
      <c r="A8" s="8"/>
      <c r="B8" s="4"/>
      <c r="C8" s="4"/>
      <c r="D8" s="4"/>
      <c r="E8" s="4"/>
      <c r="F8" s="4"/>
      <c r="G8" s="122"/>
      <c r="H8" s="100"/>
      <c r="I8" s="171"/>
      <c r="J8" s="172"/>
    </row>
    <row r="9" spans="1:14">
      <c r="A9" s="8" t="s">
        <v>279</v>
      </c>
      <c r="B9" s="4"/>
      <c r="C9" s="9" t="s">
        <v>9</v>
      </c>
      <c r="D9" s="9"/>
      <c r="E9" s="9" t="s">
        <v>10</v>
      </c>
      <c r="F9" s="9" t="s">
        <v>11</v>
      </c>
      <c r="G9" s="123" t="s">
        <v>12</v>
      </c>
      <c r="H9" s="101" t="s">
        <v>13</v>
      </c>
      <c r="I9" s="68" t="s">
        <v>101</v>
      </c>
      <c r="J9" s="69" t="s">
        <v>102</v>
      </c>
      <c r="L9" s="185" t="s">
        <v>293</v>
      </c>
      <c r="M9" s="186" t="s">
        <v>294</v>
      </c>
      <c r="N9" s="186" t="s">
        <v>295</v>
      </c>
    </row>
    <row r="10" spans="1:14" ht="60">
      <c r="A10" s="8"/>
      <c r="B10" s="4" t="s">
        <v>120</v>
      </c>
      <c r="C10" s="10">
        <v>67315</v>
      </c>
      <c r="D10" s="4" t="s">
        <v>14</v>
      </c>
      <c r="E10" s="11" t="s">
        <v>125</v>
      </c>
      <c r="F10" s="126">
        <v>1</v>
      </c>
      <c r="G10" s="129">
        <v>15.01</v>
      </c>
      <c r="H10" s="120">
        <f>C10*G10</f>
        <v>1010398.15</v>
      </c>
      <c r="I10" s="94" t="s">
        <v>104</v>
      </c>
      <c r="J10" s="95"/>
      <c r="L10" s="187"/>
      <c r="M10" s="188">
        <f>H10</f>
        <v>1010398.15</v>
      </c>
      <c r="N10" s="187"/>
    </row>
    <row r="11" spans="1:14" ht="76.5">
      <c r="A11" s="8"/>
      <c r="B11" s="4" t="s">
        <v>121</v>
      </c>
      <c r="C11" s="10">
        <v>67315</v>
      </c>
      <c r="D11" s="4" t="s">
        <v>14</v>
      </c>
      <c r="E11" s="11" t="s">
        <v>126</v>
      </c>
      <c r="F11" s="126">
        <v>1</v>
      </c>
      <c r="G11" s="129">
        <v>4.84</v>
      </c>
      <c r="H11" s="120">
        <f>C11*G11</f>
        <v>325804.59999999998</v>
      </c>
      <c r="I11" s="94" t="s">
        <v>104</v>
      </c>
      <c r="J11" s="95"/>
      <c r="K11" s="92"/>
      <c r="L11" s="187"/>
      <c r="M11" s="188">
        <f>H11</f>
        <v>325804.59999999998</v>
      </c>
      <c r="N11" s="187"/>
    </row>
    <row r="12" spans="1:14" ht="45">
      <c r="A12" s="8"/>
      <c r="B12" s="4" t="s">
        <v>122</v>
      </c>
      <c r="C12" s="10">
        <v>67315</v>
      </c>
      <c r="D12" s="4" t="s">
        <v>14</v>
      </c>
      <c r="E12" s="14" t="s">
        <v>127</v>
      </c>
      <c r="F12" s="126">
        <v>2</v>
      </c>
      <c r="G12" s="129">
        <v>6.3E-2</v>
      </c>
      <c r="H12" s="120">
        <f t="shared" ref="H12:H38" si="0">C12*G12</f>
        <v>4240.8450000000003</v>
      </c>
      <c r="I12" s="94" t="s">
        <v>104</v>
      </c>
      <c r="J12" s="95"/>
      <c r="L12" s="188">
        <f>H12</f>
        <v>4240.8450000000003</v>
      </c>
      <c r="M12" s="189"/>
      <c r="N12" s="187"/>
    </row>
    <row r="13" spans="1:14" ht="90">
      <c r="A13" s="8"/>
      <c r="B13" s="4" t="s">
        <v>123</v>
      </c>
      <c r="C13" s="10">
        <v>67315</v>
      </c>
      <c r="D13" s="4" t="s">
        <v>14</v>
      </c>
      <c r="E13" s="11" t="s">
        <v>128</v>
      </c>
      <c r="F13" s="126">
        <v>2</v>
      </c>
      <c r="G13" s="129">
        <v>12.93</v>
      </c>
      <c r="H13" s="120">
        <f t="shared" si="0"/>
        <v>870382.95</v>
      </c>
      <c r="I13" s="94" t="s">
        <v>104</v>
      </c>
      <c r="J13" s="95"/>
      <c r="L13" s="188">
        <f>H13</f>
        <v>870382.95</v>
      </c>
      <c r="M13" s="187"/>
      <c r="N13" s="187"/>
    </row>
    <row r="14" spans="1:14" ht="21">
      <c r="A14" s="8"/>
      <c r="B14" s="4" t="s">
        <v>124</v>
      </c>
      <c r="C14" s="10">
        <v>18</v>
      </c>
      <c r="D14" s="4" t="s">
        <v>31</v>
      </c>
      <c r="E14" s="11" t="s">
        <v>129</v>
      </c>
      <c r="F14" s="126">
        <v>1</v>
      </c>
      <c r="G14" s="129">
        <v>2500</v>
      </c>
      <c r="H14" s="120">
        <f t="shared" si="0"/>
        <v>45000</v>
      </c>
      <c r="I14" s="94" t="s">
        <v>104</v>
      </c>
      <c r="J14" s="95"/>
      <c r="L14" s="189"/>
      <c r="M14" s="188">
        <f>H14</f>
        <v>45000</v>
      </c>
      <c r="N14" s="187"/>
    </row>
    <row r="15" spans="1:14" ht="21">
      <c r="A15" s="8"/>
      <c r="B15" s="4"/>
      <c r="C15" s="10"/>
      <c r="D15" s="4"/>
      <c r="E15" s="11"/>
      <c r="F15" s="126"/>
      <c r="G15" s="129"/>
      <c r="H15" s="120"/>
      <c r="I15" s="94"/>
      <c r="J15" s="95"/>
      <c r="L15" s="187"/>
      <c r="M15" s="189"/>
      <c r="N15" s="187"/>
    </row>
    <row r="16" spans="1:14" ht="21">
      <c r="A16" s="173" t="s">
        <v>280</v>
      </c>
      <c r="B16" s="174"/>
      <c r="C16" s="10"/>
      <c r="D16" s="4"/>
      <c r="E16" s="11"/>
      <c r="F16" s="126"/>
      <c r="G16" s="129"/>
      <c r="H16" s="120"/>
      <c r="I16" s="94"/>
      <c r="J16" s="95"/>
      <c r="L16" s="187"/>
      <c r="M16" s="187"/>
      <c r="N16" s="187"/>
    </row>
    <row r="17" spans="1:14" ht="30">
      <c r="A17" s="8"/>
      <c r="B17" s="146" t="s">
        <v>162</v>
      </c>
      <c r="C17" s="32">
        <v>900</v>
      </c>
      <c r="D17" s="31" t="s">
        <v>14</v>
      </c>
      <c r="E17" s="14" t="s">
        <v>163</v>
      </c>
      <c r="F17" s="126">
        <v>2</v>
      </c>
      <c r="G17" s="129">
        <v>109</v>
      </c>
      <c r="H17" s="120">
        <f t="shared" si="0"/>
        <v>98100</v>
      </c>
      <c r="I17" s="94" t="s">
        <v>104</v>
      </c>
      <c r="J17" s="95"/>
      <c r="L17" s="188">
        <f>H17</f>
        <v>98100</v>
      </c>
      <c r="M17" s="187"/>
      <c r="N17" s="187"/>
    </row>
    <row r="18" spans="1:14" ht="30">
      <c r="A18" s="8"/>
      <c r="B18" s="14" t="s">
        <v>284</v>
      </c>
      <c r="C18" s="32">
        <f>C6-6914</f>
        <v>67315</v>
      </c>
      <c r="D18" s="31" t="s">
        <v>14</v>
      </c>
      <c r="E18" s="14" t="s">
        <v>177</v>
      </c>
      <c r="F18" s="126">
        <v>1</v>
      </c>
      <c r="G18" s="129">
        <v>19.329999999999998</v>
      </c>
      <c r="H18" s="120">
        <f t="shared" si="0"/>
        <v>1301198.95</v>
      </c>
      <c r="I18" s="94"/>
      <c r="J18" s="95"/>
      <c r="L18" s="187"/>
      <c r="M18" s="187"/>
      <c r="N18" s="188">
        <f>H18</f>
        <v>1301198.95</v>
      </c>
    </row>
    <row r="19" spans="1:14" ht="21">
      <c r="A19" s="8"/>
      <c r="B19" s="31" t="s">
        <v>285</v>
      </c>
      <c r="C19" s="32">
        <v>24</v>
      </c>
      <c r="D19" s="31" t="s">
        <v>169</v>
      </c>
      <c r="E19" s="14" t="s">
        <v>178</v>
      </c>
      <c r="F19" s="126">
        <v>1</v>
      </c>
      <c r="G19" s="129">
        <v>1000</v>
      </c>
      <c r="H19" s="120">
        <f t="shared" si="0"/>
        <v>24000</v>
      </c>
      <c r="I19" s="94"/>
      <c r="J19" s="95"/>
      <c r="L19" s="187"/>
      <c r="M19" s="187"/>
      <c r="N19" s="188">
        <f>H19</f>
        <v>24000</v>
      </c>
    </row>
    <row r="20" spans="1:14" ht="21">
      <c r="A20" s="8"/>
      <c r="B20" s="31" t="s">
        <v>286</v>
      </c>
      <c r="C20" s="32">
        <f>C18</f>
        <v>67315</v>
      </c>
      <c r="D20" s="31" t="s">
        <v>14</v>
      </c>
      <c r="E20" s="14" t="s">
        <v>179</v>
      </c>
      <c r="F20" s="126">
        <v>1</v>
      </c>
      <c r="G20" s="129">
        <v>0.2</v>
      </c>
      <c r="H20" s="120">
        <f t="shared" si="0"/>
        <v>13463</v>
      </c>
      <c r="I20" s="94"/>
      <c r="J20" s="95"/>
      <c r="L20" s="187"/>
      <c r="M20" s="187"/>
      <c r="N20" s="188">
        <f>H20</f>
        <v>13463</v>
      </c>
    </row>
    <row r="21" spans="1:14" s="115" customFormat="1" ht="30">
      <c r="A21" s="8"/>
      <c r="B21" s="31" t="s">
        <v>287</v>
      </c>
      <c r="C21" s="32">
        <v>136</v>
      </c>
      <c r="D21" s="31" t="s">
        <v>31</v>
      </c>
      <c r="E21" s="14" t="s">
        <v>180</v>
      </c>
      <c r="F21" s="126">
        <v>1</v>
      </c>
      <c r="G21" s="129">
        <v>1300</v>
      </c>
      <c r="H21" s="120">
        <f t="shared" si="0"/>
        <v>176800</v>
      </c>
      <c r="I21" s="94" t="s">
        <v>104</v>
      </c>
      <c r="J21" s="95"/>
      <c r="L21" s="188">
        <f>H21</f>
        <v>176800</v>
      </c>
      <c r="M21" s="187"/>
      <c r="N21" s="187"/>
    </row>
    <row r="22" spans="1:14" s="115" customFormat="1" ht="21">
      <c r="A22" s="8"/>
      <c r="B22" s="31" t="s">
        <v>164</v>
      </c>
      <c r="C22" s="32">
        <v>2</v>
      </c>
      <c r="D22" s="31" t="s">
        <v>31</v>
      </c>
      <c r="E22" s="14" t="s">
        <v>181</v>
      </c>
      <c r="F22" s="126">
        <v>1</v>
      </c>
      <c r="G22" s="129">
        <v>2750</v>
      </c>
      <c r="H22" s="120">
        <f t="shared" si="0"/>
        <v>5500</v>
      </c>
      <c r="I22" s="94" t="s">
        <v>104</v>
      </c>
      <c r="J22" s="95"/>
      <c r="L22" s="188">
        <f>H22</f>
        <v>5500</v>
      </c>
      <c r="M22" s="187"/>
      <c r="N22" s="187"/>
    </row>
    <row r="23" spans="1:14" ht="32.25">
      <c r="A23" s="8"/>
      <c r="B23" s="31" t="s">
        <v>165</v>
      </c>
      <c r="C23" s="32">
        <v>440</v>
      </c>
      <c r="D23" s="31" t="s">
        <v>14</v>
      </c>
      <c r="E23" s="14" t="s">
        <v>182</v>
      </c>
      <c r="F23" s="126">
        <v>1</v>
      </c>
      <c r="G23" s="129">
        <v>9</v>
      </c>
      <c r="H23" s="120">
        <f t="shared" si="0"/>
        <v>3960</v>
      </c>
      <c r="I23" s="94"/>
      <c r="J23" s="95"/>
      <c r="K23" s="93"/>
      <c r="L23" s="187"/>
      <c r="M23" s="188">
        <f>H23</f>
        <v>3960</v>
      </c>
      <c r="N23" s="187"/>
    </row>
    <row r="24" spans="1:14" ht="30">
      <c r="A24" s="8"/>
      <c r="B24" s="31" t="s">
        <v>166</v>
      </c>
      <c r="C24" s="32">
        <v>23578</v>
      </c>
      <c r="D24" s="31" t="s">
        <v>14</v>
      </c>
      <c r="E24" s="14" t="s">
        <v>183</v>
      </c>
      <c r="F24" s="126">
        <v>2</v>
      </c>
      <c r="G24" s="129">
        <v>6</v>
      </c>
      <c r="H24" s="120">
        <f t="shared" si="0"/>
        <v>141468</v>
      </c>
      <c r="I24" s="94" t="s">
        <v>104</v>
      </c>
      <c r="J24" s="95"/>
      <c r="L24" s="187"/>
      <c r="M24" s="188">
        <f>H24</f>
        <v>141468</v>
      </c>
      <c r="N24" s="187"/>
    </row>
    <row r="25" spans="1:14" ht="21">
      <c r="A25" s="8"/>
      <c r="B25" s="31" t="s">
        <v>167</v>
      </c>
      <c r="C25" s="32">
        <v>1728</v>
      </c>
      <c r="D25" s="31" t="s">
        <v>14</v>
      </c>
      <c r="E25" s="14" t="s">
        <v>176</v>
      </c>
      <c r="F25" s="126">
        <v>1</v>
      </c>
      <c r="G25" s="129">
        <v>190</v>
      </c>
      <c r="H25" s="120">
        <f t="shared" si="0"/>
        <v>328320</v>
      </c>
      <c r="I25" s="94" t="s">
        <v>104</v>
      </c>
      <c r="J25" s="95"/>
      <c r="L25" s="187"/>
      <c r="M25" s="188">
        <f>H25</f>
        <v>328320</v>
      </c>
      <c r="N25" s="187"/>
    </row>
    <row r="26" spans="1:14" ht="30">
      <c r="A26" s="8"/>
      <c r="B26" s="31" t="s">
        <v>184</v>
      </c>
      <c r="C26" s="4">
        <v>2</v>
      </c>
      <c r="D26" s="31" t="s">
        <v>185</v>
      </c>
      <c r="E26" s="14" t="s">
        <v>267</v>
      </c>
      <c r="F26" s="127">
        <v>1</v>
      </c>
      <c r="G26" s="136">
        <v>42909</v>
      </c>
      <c r="H26" s="137">
        <f t="shared" si="0"/>
        <v>85818</v>
      </c>
      <c r="I26" s="94" t="s">
        <v>104</v>
      </c>
      <c r="J26" s="95"/>
      <c r="L26" s="187"/>
      <c r="M26" s="188">
        <f>H26</f>
        <v>85818</v>
      </c>
      <c r="N26" s="189"/>
    </row>
    <row r="27" spans="1:14" s="115" customFormat="1" ht="30">
      <c r="A27" s="8"/>
      <c r="B27" s="31" t="s">
        <v>168</v>
      </c>
      <c r="C27" s="32">
        <v>1</v>
      </c>
      <c r="D27" s="31" t="s">
        <v>28</v>
      </c>
      <c r="E27" s="14" t="s">
        <v>175</v>
      </c>
      <c r="F27" s="126">
        <v>1</v>
      </c>
      <c r="G27" s="129">
        <v>34880</v>
      </c>
      <c r="H27" s="120">
        <f>C27*G27</f>
        <v>34880</v>
      </c>
      <c r="I27" s="138"/>
      <c r="J27" s="139"/>
      <c r="L27" s="187"/>
      <c r="M27" s="187"/>
      <c r="N27" s="188">
        <f>H27</f>
        <v>34880</v>
      </c>
    </row>
    <row r="28" spans="1:14" s="115" customFormat="1" ht="30">
      <c r="A28" s="8"/>
      <c r="B28" s="31" t="s">
        <v>186</v>
      </c>
      <c r="C28" s="32">
        <v>12833</v>
      </c>
      <c r="D28" s="31" t="s">
        <v>14</v>
      </c>
      <c r="E28" s="14" t="s">
        <v>189</v>
      </c>
      <c r="F28" s="126">
        <v>2</v>
      </c>
      <c r="G28" s="129">
        <v>3.11</v>
      </c>
      <c r="H28" s="120">
        <f>C28*G28</f>
        <v>39910.629999999997</v>
      </c>
      <c r="I28" s="138"/>
      <c r="J28" s="139"/>
      <c r="K28" s="117"/>
      <c r="L28" s="187"/>
      <c r="M28" s="189"/>
      <c r="N28" s="188">
        <f>H28</f>
        <v>39910.629999999997</v>
      </c>
    </row>
    <row r="29" spans="1:14" s="115" customFormat="1" ht="45">
      <c r="A29" s="8"/>
      <c r="B29" s="127" t="s">
        <v>187</v>
      </c>
      <c r="C29" s="128">
        <v>1</v>
      </c>
      <c r="D29" s="127" t="s">
        <v>28</v>
      </c>
      <c r="E29" s="126" t="s">
        <v>188</v>
      </c>
      <c r="F29" s="126">
        <v>2</v>
      </c>
      <c r="G29" s="129">
        <v>39184</v>
      </c>
      <c r="H29" s="130">
        <v>194034</v>
      </c>
      <c r="I29" s="138" t="s">
        <v>104</v>
      </c>
      <c r="J29" s="139"/>
      <c r="K29" s="117"/>
      <c r="L29" s="189"/>
      <c r="M29" s="188">
        <f>H29</f>
        <v>194034</v>
      </c>
      <c r="N29" s="187"/>
    </row>
    <row r="30" spans="1:14" s="115" customFormat="1" ht="30">
      <c r="A30" s="8"/>
      <c r="B30" s="147" t="s">
        <v>271</v>
      </c>
      <c r="C30" s="148">
        <v>6</v>
      </c>
      <c r="D30" s="147" t="s">
        <v>272</v>
      </c>
      <c r="E30" s="146" t="s">
        <v>273</v>
      </c>
      <c r="F30" s="146">
        <v>2</v>
      </c>
      <c r="G30" s="142">
        <v>5000</v>
      </c>
      <c r="H30" s="143">
        <f>C30*G30</f>
        <v>30000</v>
      </c>
      <c r="I30" s="138" t="s">
        <v>104</v>
      </c>
      <c r="J30" s="139"/>
      <c r="K30" s="117"/>
      <c r="L30" s="189">
        <f>H30</f>
        <v>30000</v>
      </c>
      <c r="M30" s="187"/>
      <c r="N30" s="187"/>
    </row>
    <row r="31" spans="1:14" s="144" customFormat="1" ht="21">
      <c r="A31" s="145"/>
      <c r="B31" s="147" t="s">
        <v>274</v>
      </c>
      <c r="C31" s="148">
        <v>6</v>
      </c>
      <c r="D31" s="147" t="s">
        <v>272</v>
      </c>
      <c r="E31" s="146" t="s">
        <v>276</v>
      </c>
      <c r="F31" s="146">
        <v>2</v>
      </c>
      <c r="G31" s="142">
        <v>5000</v>
      </c>
      <c r="H31" s="143">
        <f>C31*G31</f>
        <v>30000</v>
      </c>
      <c r="I31" s="138" t="s">
        <v>104</v>
      </c>
      <c r="J31" s="139"/>
      <c r="K31" s="149"/>
      <c r="L31" s="189">
        <f>H31</f>
        <v>30000</v>
      </c>
      <c r="M31" s="187"/>
      <c r="N31" s="187"/>
    </row>
    <row r="32" spans="1:14" s="144" customFormat="1" ht="21">
      <c r="A32" s="145"/>
      <c r="B32" s="147" t="s">
        <v>275</v>
      </c>
      <c r="C32" s="148">
        <v>6</v>
      </c>
      <c r="D32" s="147" t="s">
        <v>272</v>
      </c>
      <c r="E32" s="146" t="s">
        <v>277</v>
      </c>
      <c r="F32" s="146">
        <v>2</v>
      </c>
      <c r="G32" s="142">
        <v>10000</v>
      </c>
      <c r="H32" s="143">
        <f>C32*G32</f>
        <v>60000</v>
      </c>
      <c r="I32" s="138" t="s">
        <v>104</v>
      </c>
      <c r="J32" s="139"/>
      <c r="K32" s="149"/>
      <c r="L32" s="189">
        <f>H32</f>
        <v>60000</v>
      </c>
      <c r="M32" s="187"/>
      <c r="N32" s="187"/>
    </row>
    <row r="33" spans="1:14" ht="21">
      <c r="A33" s="8"/>
      <c r="B33" s="4"/>
      <c r="C33" s="10"/>
      <c r="D33" s="4"/>
      <c r="E33" s="11"/>
      <c r="F33" s="126"/>
      <c r="G33" s="129"/>
      <c r="H33" s="120"/>
      <c r="I33" s="138"/>
      <c r="J33" s="139"/>
      <c r="L33" s="187"/>
      <c r="M33" s="187"/>
      <c r="N33" s="187"/>
    </row>
    <row r="34" spans="1:14" ht="21">
      <c r="A34" s="8" t="s">
        <v>281</v>
      </c>
      <c r="B34" s="4"/>
      <c r="C34" s="10"/>
      <c r="D34" s="4"/>
      <c r="E34" s="11"/>
      <c r="F34" s="126"/>
      <c r="G34" s="129"/>
      <c r="H34" s="120"/>
      <c r="I34" s="138"/>
      <c r="J34" s="139"/>
      <c r="L34" s="187"/>
      <c r="M34" s="187"/>
      <c r="N34" s="187"/>
    </row>
    <row r="35" spans="1:14" ht="60">
      <c r="A35" s="8"/>
      <c r="B35" s="4" t="s">
        <v>118</v>
      </c>
      <c r="C35" s="10">
        <v>67315</v>
      </c>
      <c r="D35" s="4" t="s">
        <v>14</v>
      </c>
      <c r="E35" s="11" t="s">
        <v>119</v>
      </c>
      <c r="F35" s="126">
        <v>2</v>
      </c>
      <c r="G35" s="129">
        <v>1.2</v>
      </c>
      <c r="H35" s="120">
        <f t="shared" si="0"/>
        <v>80778</v>
      </c>
      <c r="I35" s="138" t="s">
        <v>104</v>
      </c>
      <c r="J35" s="139"/>
      <c r="L35" s="188">
        <f>H35</f>
        <v>80778</v>
      </c>
      <c r="M35" s="189"/>
      <c r="N35" s="187"/>
    </row>
    <row r="36" spans="1:14" ht="21">
      <c r="A36" s="8"/>
      <c r="B36" s="4"/>
      <c r="C36" s="10"/>
      <c r="D36" s="4"/>
      <c r="E36" s="11"/>
      <c r="F36" s="126"/>
      <c r="G36" s="129"/>
      <c r="H36" s="120"/>
      <c r="I36" s="138"/>
      <c r="J36" s="139"/>
      <c r="L36" s="187"/>
      <c r="M36" s="187"/>
      <c r="N36" s="187"/>
    </row>
    <row r="37" spans="1:14" ht="21">
      <c r="A37" s="8" t="s">
        <v>282</v>
      </c>
      <c r="B37" s="4"/>
      <c r="C37" s="10"/>
      <c r="D37" s="4"/>
      <c r="E37" s="11"/>
      <c r="F37" s="126"/>
      <c r="G37" s="129"/>
      <c r="H37" s="120"/>
      <c r="I37" s="138"/>
      <c r="J37" s="139"/>
      <c r="L37" s="187"/>
      <c r="M37" s="187"/>
      <c r="N37" s="187"/>
    </row>
    <row r="38" spans="1:14" ht="45">
      <c r="A38" s="8"/>
      <c r="B38" s="4" t="s">
        <v>116</v>
      </c>
      <c r="C38" s="10">
        <v>67315</v>
      </c>
      <c r="D38" s="4" t="s">
        <v>14</v>
      </c>
      <c r="E38" s="11" t="s">
        <v>117</v>
      </c>
      <c r="F38" s="126">
        <v>2</v>
      </c>
      <c r="G38" s="129">
        <v>5.54</v>
      </c>
      <c r="H38" s="120">
        <f t="shared" si="0"/>
        <v>372925.1</v>
      </c>
      <c r="I38" s="138" t="s">
        <v>104</v>
      </c>
      <c r="J38" s="139"/>
      <c r="L38" s="187"/>
      <c r="M38" s="188">
        <f>H38</f>
        <v>372925.1</v>
      </c>
      <c r="N38" s="189"/>
    </row>
    <row r="39" spans="1:14" ht="21">
      <c r="A39" s="8"/>
      <c r="B39" s="4"/>
      <c r="C39" s="10"/>
      <c r="D39" s="4"/>
      <c r="E39" s="11"/>
      <c r="F39" s="126"/>
      <c r="G39" s="129"/>
      <c r="H39" s="120"/>
      <c r="I39" s="138"/>
      <c r="J39" s="139"/>
      <c r="L39" s="187"/>
      <c r="M39" s="187"/>
      <c r="N39" s="189"/>
    </row>
    <row r="40" spans="1:14" ht="21">
      <c r="A40" s="8" t="s">
        <v>283</v>
      </c>
      <c r="B40" s="4"/>
      <c r="C40" s="10"/>
      <c r="D40" s="4"/>
      <c r="E40" s="11"/>
      <c r="F40" s="126"/>
      <c r="G40" s="129"/>
      <c r="H40" s="120"/>
      <c r="I40" s="138"/>
      <c r="J40" s="139"/>
      <c r="L40" s="187"/>
      <c r="M40" s="187"/>
      <c r="N40" s="189"/>
    </row>
    <row r="41" spans="1:14" ht="45">
      <c r="A41" s="8"/>
      <c r="B41" s="4" t="s">
        <v>114</v>
      </c>
      <c r="C41" s="10">
        <v>67315</v>
      </c>
      <c r="D41" s="4" t="s">
        <v>14</v>
      </c>
      <c r="E41" s="11" t="s">
        <v>115</v>
      </c>
      <c r="F41" s="126">
        <v>1</v>
      </c>
      <c r="G41" s="129">
        <v>7.5</v>
      </c>
      <c r="H41" s="120">
        <f t="shared" ref="H41" si="1">C41*G41</f>
        <v>504862.5</v>
      </c>
      <c r="I41" s="138"/>
      <c r="J41" s="139"/>
      <c r="L41" s="187"/>
      <c r="M41" s="187"/>
      <c r="N41" s="188">
        <f>H41</f>
        <v>504862.5</v>
      </c>
    </row>
    <row r="42" spans="1:14" s="115" customFormat="1" ht="21">
      <c r="A42" s="8"/>
      <c r="B42" s="4"/>
      <c r="C42" s="10"/>
      <c r="D42" s="4"/>
      <c r="E42" s="11"/>
      <c r="F42" s="126"/>
      <c r="G42" s="129"/>
      <c r="H42" s="120"/>
      <c r="I42" s="138"/>
      <c r="J42" s="139"/>
      <c r="L42" s="187"/>
      <c r="M42" s="187"/>
      <c r="N42" s="189"/>
    </row>
    <row r="43" spans="1:14" s="115" customFormat="1" ht="21">
      <c r="A43" s="8" t="s">
        <v>159</v>
      </c>
      <c r="B43" s="4"/>
      <c r="C43" s="10"/>
      <c r="D43" s="4"/>
      <c r="E43" s="11"/>
      <c r="F43" s="126"/>
      <c r="G43" s="129"/>
      <c r="H43" s="120"/>
      <c r="I43" s="138"/>
      <c r="J43" s="139"/>
      <c r="L43" s="187"/>
      <c r="M43" s="187"/>
      <c r="N43" s="189"/>
    </row>
    <row r="44" spans="1:14" s="115" customFormat="1" ht="105">
      <c r="A44" s="8"/>
      <c r="B44" s="4" t="s">
        <v>160</v>
      </c>
      <c r="C44" s="10">
        <v>6914</v>
      </c>
      <c r="D44" s="4" t="s">
        <v>14</v>
      </c>
      <c r="E44" s="11" t="s">
        <v>161</v>
      </c>
      <c r="F44" s="126">
        <v>1</v>
      </c>
      <c r="G44" s="129">
        <v>223.13</v>
      </c>
      <c r="H44" s="120">
        <f>C44*G44</f>
        <v>1542720.82</v>
      </c>
      <c r="I44" s="138" t="s">
        <v>104</v>
      </c>
      <c r="J44" s="139"/>
      <c r="L44" s="188">
        <f>H44</f>
        <v>1542720.82</v>
      </c>
      <c r="M44" s="187"/>
      <c r="N44" s="189"/>
    </row>
    <row r="45" spans="1:14" ht="21.75" thickBot="1">
      <c r="A45" s="8"/>
      <c r="B45" s="4"/>
      <c r="C45" s="10"/>
      <c r="D45" s="4"/>
      <c r="E45" s="11"/>
      <c r="F45" s="126"/>
      <c r="G45" s="129"/>
      <c r="H45" s="120"/>
      <c r="I45" s="140"/>
      <c r="J45" s="141"/>
      <c r="L45" s="187"/>
      <c r="M45" s="187"/>
      <c r="N45" s="187"/>
    </row>
    <row r="46" spans="1:14" ht="16.5" thickTop="1" thickBot="1">
      <c r="A46" s="8"/>
      <c r="B46" s="4"/>
      <c r="C46" s="10"/>
      <c r="D46" s="4"/>
      <c r="E46" s="11"/>
      <c r="F46" s="11"/>
      <c r="G46" s="124"/>
      <c r="H46" s="102"/>
      <c r="L46" s="190"/>
      <c r="M46" s="190"/>
      <c r="N46" s="190"/>
    </row>
    <row r="47" spans="1:14" ht="15.75" thickBot="1">
      <c r="F47" s="15"/>
      <c r="G47" s="125" t="s">
        <v>16</v>
      </c>
      <c r="H47" s="103">
        <f>SUM(H10:H46)</f>
        <v>7324565.5449999999</v>
      </c>
      <c r="L47" s="191">
        <f>SUM(L10:L46)</f>
        <v>2898522.6150000002</v>
      </c>
      <c r="M47" s="191">
        <f t="shared" ref="M47:N47" si="2">SUM(M10:M46)</f>
        <v>2507727.85</v>
      </c>
      <c r="N47" s="191">
        <f t="shared" si="2"/>
        <v>1918315.0799999998</v>
      </c>
    </row>
    <row r="48" spans="1:14">
      <c r="F48" s="18" t="s">
        <v>17</v>
      </c>
      <c r="G48" s="158">
        <v>0.1</v>
      </c>
      <c r="H48" s="102">
        <f>H47*G48</f>
        <v>732456.55450000009</v>
      </c>
      <c r="L48" s="192">
        <f>L47*G48</f>
        <v>289852.26150000002</v>
      </c>
      <c r="M48" s="192">
        <f>M47*G48</f>
        <v>250772.78500000003</v>
      </c>
      <c r="N48" s="192">
        <f>N47*G48</f>
        <v>191831.508</v>
      </c>
    </row>
    <row r="49" spans="6:14">
      <c r="F49" s="18" t="s">
        <v>18</v>
      </c>
      <c r="G49" s="158">
        <v>0.05</v>
      </c>
      <c r="H49" s="102">
        <f>H47*G49</f>
        <v>366228.27725000004</v>
      </c>
      <c r="L49" s="189">
        <f>L47*G49</f>
        <v>144926.13075000001</v>
      </c>
      <c r="M49" s="189">
        <f>M47*G49</f>
        <v>125386.39250000002</v>
      </c>
      <c r="N49" s="189">
        <f>N47*G49</f>
        <v>95915.754000000001</v>
      </c>
    </row>
    <row r="50" spans="6:14">
      <c r="F50" s="18" t="s">
        <v>19</v>
      </c>
      <c r="G50" s="158">
        <v>7.0000000000000007E-2</v>
      </c>
      <c r="H50" s="102">
        <f>H47*G50</f>
        <v>512719.58815000003</v>
      </c>
      <c r="L50" s="189">
        <f>L47*G50</f>
        <v>202896.58305000004</v>
      </c>
      <c r="M50" s="189">
        <f>M47*G50</f>
        <v>175540.94950000002</v>
      </c>
      <c r="N50" s="189">
        <f>N47*G50</f>
        <v>134282.05559999999</v>
      </c>
    </row>
    <row r="51" spans="6:14" ht="15.75" thickBot="1">
      <c r="F51" s="20" t="s">
        <v>20</v>
      </c>
      <c r="G51" s="159">
        <v>0.03</v>
      </c>
      <c r="H51" s="102">
        <f>H47*G51</f>
        <v>219736.96635</v>
      </c>
      <c r="L51" s="193">
        <f>L47*G51</f>
        <v>86955.678450000007</v>
      </c>
      <c r="M51" s="193">
        <f>M47*G51</f>
        <v>75231.835500000001</v>
      </c>
      <c r="N51" s="193">
        <f>N47*G51</f>
        <v>57549.452399999995</v>
      </c>
    </row>
    <row r="52" spans="6:14" ht="15.75" thickBot="1">
      <c r="G52" s="125" t="s">
        <v>21</v>
      </c>
      <c r="H52" s="103">
        <f>SUM(H47:H51)</f>
        <v>9155706.9312500004</v>
      </c>
      <c r="L52" s="191">
        <f>SUM(L47:L51)</f>
        <v>3623153.2687500003</v>
      </c>
      <c r="M52" s="191">
        <f t="shared" ref="M52:N52" si="3">SUM(M47:M51)</f>
        <v>3134659.8125000005</v>
      </c>
      <c r="N52" s="191">
        <f t="shared" si="3"/>
        <v>2397893.85</v>
      </c>
    </row>
    <row r="53" spans="6:14" ht="15.75" thickBot="1">
      <c r="F53" s="22" t="s">
        <v>22</v>
      </c>
      <c r="G53" s="159">
        <v>0.18</v>
      </c>
      <c r="H53" s="98">
        <f>H52*G53</f>
        <v>1648027.2476250001</v>
      </c>
      <c r="L53" s="194">
        <f>L52*G53</f>
        <v>652167.58837500005</v>
      </c>
      <c r="M53" s="194">
        <f>M52*G53</f>
        <v>564238.7662500001</v>
      </c>
      <c r="N53" s="194">
        <f>N52*G53</f>
        <v>431620.89299999998</v>
      </c>
    </row>
    <row r="54" spans="6:14" ht="15.75" thickBot="1">
      <c r="G54" s="125" t="s">
        <v>23</v>
      </c>
      <c r="H54" s="103">
        <f>SUM(H52:H53)</f>
        <v>10803734.178875001</v>
      </c>
      <c r="L54" s="191">
        <f>SUM(L52:L53)</f>
        <v>4275320.8571250001</v>
      </c>
      <c r="M54" s="191">
        <f t="shared" ref="M54:N54" si="4">SUM(M52:M53)</f>
        <v>3698898.5787500003</v>
      </c>
      <c r="N54" s="191">
        <f t="shared" si="4"/>
        <v>2829514.7430000002</v>
      </c>
    </row>
  </sheetData>
  <mergeCells count="7">
    <mergeCell ref="I7:J8"/>
    <mergeCell ref="A16:B16"/>
    <mergeCell ref="G7:H7"/>
    <mergeCell ref="G3:H3"/>
    <mergeCell ref="G4:H4"/>
    <mergeCell ref="G5:H5"/>
    <mergeCell ref="G6:H6"/>
  </mergeCells>
  <pageMargins left="0.7" right="0.7" top="0.75" bottom="0.75" header="0.3" footer="0.3"/>
  <pageSetup paperSize="3" scale="34" orientation="landscape" copies="6" r:id="rId1"/>
  <headerFooter scaleWithDoc="0">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view="pageBreakPreview" zoomScale="60" zoomScaleNormal="87" workbookViewId="0">
      <selection activeCell="M17" sqref="M17"/>
    </sheetView>
  </sheetViews>
  <sheetFormatPr defaultRowHeight="15"/>
  <cols>
    <col min="1" max="1" width="2.42578125" customWidth="1"/>
    <col min="2" max="2" width="45.5703125" customWidth="1"/>
    <col min="3" max="3" width="12.7109375" customWidth="1"/>
    <col min="4" max="4" width="4.7109375" customWidth="1"/>
    <col min="5" max="5" width="54.85546875" customWidth="1"/>
    <col min="6" max="6" width="15.85546875" customWidth="1"/>
    <col min="7" max="7" width="14.140625" customWidth="1"/>
    <col min="8" max="8" width="16.42578125" customWidth="1"/>
    <col min="9" max="10" width="0" hidden="1" customWidth="1"/>
    <col min="11" max="11" width="6.7109375" customWidth="1"/>
    <col min="12" max="14" width="18.5703125" style="184" customWidth="1"/>
  </cols>
  <sheetData>
    <row r="1" spans="1:14" ht="23.25">
      <c r="B1" s="1" t="s">
        <v>24</v>
      </c>
      <c r="C1" s="1"/>
      <c r="D1" s="1"/>
      <c r="E1" s="1"/>
      <c r="F1" s="1"/>
    </row>
    <row r="2" spans="1:14" ht="23.25">
      <c r="B2" s="1"/>
      <c r="C2" s="1"/>
      <c r="D2" s="1"/>
      <c r="E2" s="1"/>
      <c r="H2" s="2" t="s">
        <v>1</v>
      </c>
    </row>
    <row r="3" spans="1:14">
      <c r="A3" s="3" t="s">
        <v>2</v>
      </c>
      <c r="B3" s="4"/>
      <c r="C3" s="5" t="str">
        <f>Arch!C3</f>
        <v>Yellow Springs School</v>
      </c>
      <c r="D3" s="5"/>
      <c r="E3" s="5"/>
      <c r="F3" s="4"/>
      <c r="G3" s="177" t="s">
        <v>3</v>
      </c>
      <c r="H3" s="178"/>
      <c r="L3" s="184" t="s">
        <v>296</v>
      </c>
    </row>
    <row r="4" spans="1:14">
      <c r="A4" s="3" t="s">
        <v>4</v>
      </c>
      <c r="B4" s="4"/>
      <c r="C4" s="5" t="str">
        <f>Arch!C4</f>
        <v>Yellow Springs HS/MMS</v>
      </c>
      <c r="D4" s="5"/>
      <c r="E4" s="5"/>
      <c r="F4" s="4"/>
      <c r="G4" s="177" t="s">
        <v>5</v>
      </c>
      <c r="H4" s="178"/>
      <c r="L4" s="184" t="s">
        <v>297</v>
      </c>
    </row>
    <row r="5" spans="1:14">
      <c r="A5" s="3" t="s">
        <v>6</v>
      </c>
      <c r="B5" s="4"/>
      <c r="C5" s="5" t="str">
        <f>Arch!C5</f>
        <v>Yellow Springs HS/MMS</v>
      </c>
      <c r="D5" s="5"/>
      <c r="E5" s="5"/>
      <c r="F5" s="4"/>
      <c r="G5" s="177" t="s">
        <v>7</v>
      </c>
      <c r="H5" s="178"/>
      <c r="L5" s="184" t="s">
        <v>298</v>
      </c>
    </row>
    <row r="6" spans="1:14" ht="15.75" thickBot="1">
      <c r="A6" s="8" t="s">
        <v>25</v>
      </c>
      <c r="B6" s="4"/>
      <c r="C6" s="24">
        <f>Arch!C6</f>
        <v>74229</v>
      </c>
      <c r="D6" s="25" t="s">
        <v>14</v>
      </c>
      <c r="E6" s="4"/>
      <c r="F6" s="4"/>
      <c r="G6" s="175" t="s">
        <v>8</v>
      </c>
      <c r="H6" s="179"/>
      <c r="L6" s="184" t="s">
        <v>299</v>
      </c>
    </row>
    <row r="7" spans="1:14" ht="18.75" customHeight="1" thickTop="1">
      <c r="A7" s="8"/>
      <c r="B7" s="4"/>
      <c r="C7" s="24"/>
      <c r="D7" s="25"/>
      <c r="E7" s="4"/>
      <c r="F7" s="4"/>
      <c r="G7" s="175" t="s">
        <v>93</v>
      </c>
      <c r="H7" s="176"/>
      <c r="I7" s="169" t="s">
        <v>100</v>
      </c>
      <c r="J7" s="170"/>
    </row>
    <row r="8" spans="1:14" ht="15" customHeight="1" thickBot="1">
      <c r="A8" s="4"/>
      <c r="B8" s="4"/>
      <c r="C8" s="4"/>
      <c r="D8" s="4"/>
      <c r="E8" s="4"/>
      <c r="F8" s="4"/>
      <c r="G8" s="7"/>
      <c r="H8" s="66"/>
      <c r="I8" s="171"/>
      <c r="J8" s="172"/>
    </row>
    <row r="9" spans="1:14" ht="15" customHeight="1" thickBot="1">
      <c r="A9" s="8"/>
      <c r="B9" s="4"/>
      <c r="C9" s="9" t="s">
        <v>9</v>
      </c>
      <c r="D9" s="9"/>
      <c r="E9" s="9" t="s">
        <v>10</v>
      </c>
      <c r="F9" s="9" t="s">
        <v>11</v>
      </c>
      <c r="G9" s="9" t="s">
        <v>12</v>
      </c>
      <c r="H9" s="67" t="s">
        <v>13</v>
      </c>
      <c r="I9" s="75" t="s">
        <v>101</v>
      </c>
      <c r="J9" s="76" t="s">
        <v>102</v>
      </c>
      <c r="L9" s="195" t="s">
        <v>293</v>
      </c>
      <c r="M9" s="196" t="s">
        <v>294</v>
      </c>
      <c r="N9" s="197" t="s">
        <v>295</v>
      </c>
    </row>
    <row r="10" spans="1:14">
      <c r="A10" s="8" t="s">
        <v>26</v>
      </c>
      <c r="B10" s="4"/>
      <c r="C10" s="4"/>
      <c r="D10" s="4"/>
      <c r="E10" s="11"/>
      <c r="F10" s="11"/>
      <c r="G10" s="4"/>
      <c r="H10" s="66"/>
      <c r="I10" s="70"/>
      <c r="J10" s="71"/>
      <c r="L10" s="198"/>
      <c r="M10" s="199"/>
      <c r="N10" s="198"/>
    </row>
    <row r="11" spans="1:14" ht="30">
      <c r="A11" s="4"/>
      <c r="B11" s="4" t="s">
        <v>203</v>
      </c>
      <c r="C11" s="24">
        <v>74229</v>
      </c>
      <c r="D11" s="25" t="s">
        <v>14</v>
      </c>
      <c r="E11" s="11" t="s">
        <v>202</v>
      </c>
      <c r="F11" s="11">
        <v>5</v>
      </c>
      <c r="G11" s="12">
        <v>4</v>
      </c>
      <c r="H11" s="74">
        <f>(C11*G11)</f>
        <v>296916</v>
      </c>
      <c r="I11" s="89"/>
      <c r="J11" s="85" t="s">
        <v>104</v>
      </c>
      <c r="L11" s="200">
        <f>H11</f>
        <v>296916</v>
      </c>
      <c r="M11" s="188"/>
      <c r="N11" s="187"/>
    </row>
    <row r="12" spans="1:14" ht="23.25">
      <c r="A12" s="4"/>
      <c r="C12" s="25"/>
      <c r="D12" s="25"/>
      <c r="E12" s="11"/>
      <c r="F12" s="11"/>
      <c r="G12" s="12"/>
      <c r="H12" s="74"/>
      <c r="I12" s="89"/>
      <c r="J12" s="85"/>
      <c r="L12" s="188"/>
      <c r="M12" s="189"/>
      <c r="N12" s="187"/>
    </row>
    <row r="13" spans="1:14" ht="23.25">
      <c r="A13" s="8" t="s">
        <v>27</v>
      </c>
      <c r="B13" s="4"/>
      <c r="C13" s="25"/>
      <c r="D13" s="25"/>
      <c r="E13" s="11"/>
      <c r="F13" s="11"/>
      <c r="G13" s="12"/>
      <c r="H13" s="74"/>
      <c r="I13" s="89"/>
      <c r="J13" s="85"/>
      <c r="L13" s="188"/>
      <c r="M13" s="187"/>
      <c r="N13" s="187"/>
    </row>
    <row r="14" spans="1:14" ht="45">
      <c r="A14" s="4"/>
      <c r="B14" s="4" t="s">
        <v>208</v>
      </c>
      <c r="C14" s="24">
        <v>59096</v>
      </c>
      <c r="D14" s="25" t="s">
        <v>14</v>
      </c>
      <c r="E14" s="11" t="s">
        <v>209</v>
      </c>
      <c r="F14" s="11">
        <v>1</v>
      </c>
      <c r="G14" s="12">
        <v>3.5</v>
      </c>
      <c r="H14" s="74">
        <f>(C14*G14)</f>
        <v>206836</v>
      </c>
      <c r="I14" s="89" t="s">
        <v>104</v>
      </c>
      <c r="J14" s="85"/>
      <c r="K14" s="90"/>
      <c r="L14" s="189"/>
      <c r="M14" s="188">
        <f>H14</f>
        <v>206836</v>
      </c>
      <c r="N14" s="187"/>
    </row>
    <row r="15" spans="1:14" ht="30">
      <c r="A15" s="4"/>
      <c r="B15" s="4" t="s">
        <v>204</v>
      </c>
      <c r="C15" s="24">
        <v>15133</v>
      </c>
      <c r="D15" s="25" t="s">
        <v>14</v>
      </c>
      <c r="E15" s="11" t="s">
        <v>206</v>
      </c>
      <c r="F15" s="11">
        <v>3</v>
      </c>
      <c r="G15" s="12">
        <f>1.35*0</f>
        <v>0</v>
      </c>
      <c r="H15" s="74">
        <f t="shared" ref="H15:H37" si="0">C15*G15</f>
        <v>0</v>
      </c>
      <c r="I15" s="89"/>
      <c r="J15" s="85" t="s">
        <v>104</v>
      </c>
      <c r="L15" s="187"/>
      <c r="M15" s="189"/>
      <c r="N15" s="200">
        <f>H15</f>
        <v>0</v>
      </c>
    </row>
    <row r="16" spans="1:14" ht="45">
      <c r="A16" s="4"/>
      <c r="B16" s="4" t="s">
        <v>210</v>
      </c>
      <c r="C16" s="24">
        <v>59096</v>
      </c>
      <c r="D16" s="25" t="s">
        <v>14</v>
      </c>
      <c r="E16" s="11" t="s">
        <v>211</v>
      </c>
      <c r="F16" s="11">
        <v>1</v>
      </c>
      <c r="G16" s="12">
        <v>3.5</v>
      </c>
      <c r="H16" s="74">
        <f>(C16*G16)</f>
        <v>206836</v>
      </c>
      <c r="I16" s="89" t="s">
        <v>104</v>
      </c>
      <c r="J16" s="85"/>
      <c r="K16" s="90"/>
      <c r="L16" s="187"/>
      <c r="M16" s="200">
        <f>H16</f>
        <v>206836</v>
      </c>
      <c r="N16" s="187"/>
    </row>
    <row r="17" spans="1:14" ht="30">
      <c r="A17" s="4"/>
      <c r="B17" s="4" t="s">
        <v>205</v>
      </c>
      <c r="C17" s="24">
        <v>15133</v>
      </c>
      <c r="D17" s="25" t="s">
        <v>14</v>
      </c>
      <c r="E17" s="11" t="s">
        <v>207</v>
      </c>
      <c r="F17" s="11">
        <v>3</v>
      </c>
      <c r="G17" s="12">
        <f>2.75*0</f>
        <v>0</v>
      </c>
      <c r="H17" s="74">
        <f t="shared" si="0"/>
        <v>0</v>
      </c>
      <c r="I17" s="89"/>
      <c r="J17" s="85" t="s">
        <v>104</v>
      </c>
      <c r="L17" s="188"/>
      <c r="M17" s="187"/>
      <c r="N17" s="200">
        <f>H17</f>
        <v>0</v>
      </c>
    </row>
    <row r="18" spans="1:14" ht="45">
      <c r="A18" s="4"/>
      <c r="B18" s="4" t="s">
        <v>212</v>
      </c>
      <c r="C18" s="25">
        <v>1</v>
      </c>
      <c r="D18" s="25" t="s">
        <v>28</v>
      </c>
      <c r="E18" s="11" t="s">
        <v>213</v>
      </c>
      <c r="F18" s="11">
        <v>2</v>
      </c>
      <c r="G18" s="12">
        <v>15000</v>
      </c>
      <c r="H18" s="74">
        <f>(C18*G18)</f>
        <v>15000</v>
      </c>
      <c r="I18" s="89" t="s">
        <v>104</v>
      </c>
      <c r="J18" s="85"/>
      <c r="L18" s="187"/>
      <c r="M18" s="200">
        <f>H18</f>
        <v>15000</v>
      </c>
      <c r="N18" s="188"/>
    </row>
    <row r="19" spans="1:14" ht="30">
      <c r="A19" s="4"/>
      <c r="B19" s="4" t="s">
        <v>214</v>
      </c>
      <c r="C19" s="25">
        <v>1</v>
      </c>
      <c r="D19" s="25" t="s">
        <v>28</v>
      </c>
      <c r="E19" s="11" t="s">
        <v>215</v>
      </c>
      <c r="F19" s="11">
        <v>1</v>
      </c>
      <c r="G19" s="12">
        <v>5000</v>
      </c>
      <c r="H19" s="74">
        <f>(C19*G19)</f>
        <v>5000</v>
      </c>
      <c r="I19" s="89" t="s">
        <v>104</v>
      </c>
      <c r="J19" s="85"/>
      <c r="L19" s="187"/>
      <c r="M19" s="200">
        <f>H19</f>
        <v>5000</v>
      </c>
      <c r="N19" s="188"/>
    </row>
    <row r="20" spans="1:14" ht="45">
      <c r="A20" s="4"/>
      <c r="B20" s="4" t="s">
        <v>29</v>
      </c>
      <c r="C20" s="24">
        <v>74229</v>
      </c>
      <c r="D20" s="25" t="s">
        <v>28</v>
      </c>
      <c r="E20" s="11" t="s">
        <v>30</v>
      </c>
      <c r="F20" s="11">
        <v>5</v>
      </c>
      <c r="G20" s="12">
        <v>25000</v>
      </c>
      <c r="H20" s="74">
        <f>G20</f>
        <v>25000</v>
      </c>
      <c r="I20" s="89"/>
      <c r="J20" s="85" t="s">
        <v>104</v>
      </c>
      <c r="L20" s="200">
        <f>H20</f>
        <v>25000</v>
      </c>
      <c r="M20" s="187"/>
      <c r="N20" s="188"/>
    </row>
    <row r="21" spans="1:14" ht="45">
      <c r="A21" s="4"/>
      <c r="B21" s="4" t="s">
        <v>217</v>
      </c>
      <c r="C21" s="25">
        <v>82</v>
      </c>
      <c r="D21" s="25" t="s">
        <v>31</v>
      </c>
      <c r="E21" s="11" t="s">
        <v>219</v>
      </c>
      <c r="F21" s="11">
        <v>1</v>
      </c>
      <c r="G21" s="12">
        <v>1500</v>
      </c>
      <c r="H21" s="74">
        <f>(C21*G21)</f>
        <v>123000</v>
      </c>
      <c r="I21" s="89" t="s">
        <v>104</v>
      </c>
      <c r="J21" s="85"/>
      <c r="K21" s="90"/>
      <c r="L21" s="188"/>
      <c r="M21" s="200">
        <f>H21</f>
        <v>123000</v>
      </c>
      <c r="N21" s="187"/>
    </row>
    <row r="22" spans="1:14" ht="23.25">
      <c r="A22" s="4"/>
      <c r="B22" s="4" t="s">
        <v>216</v>
      </c>
      <c r="C22" s="25">
        <v>1</v>
      </c>
      <c r="D22" s="25" t="s">
        <v>31</v>
      </c>
      <c r="E22" s="11" t="s">
        <v>218</v>
      </c>
      <c r="F22" s="11">
        <v>1</v>
      </c>
      <c r="G22" s="12">
        <v>1500</v>
      </c>
      <c r="H22" s="74">
        <f>(C22*G22)</f>
        <v>1500</v>
      </c>
      <c r="I22" s="89" t="s">
        <v>104</v>
      </c>
      <c r="J22" s="85"/>
      <c r="L22" s="188"/>
      <c r="M22" s="200">
        <f>H22</f>
        <v>1500</v>
      </c>
      <c r="N22" s="187"/>
    </row>
    <row r="23" spans="1:14" ht="23.25">
      <c r="A23" s="4"/>
      <c r="B23" s="4"/>
      <c r="C23" s="25"/>
      <c r="D23" s="25"/>
      <c r="E23" s="11"/>
      <c r="F23" s="11"/>
      <c r="G23" s="12"/>
      <c r="H23" s="74"/>
      <c r="I23" s="89"/>
      <c r="J23" s="85"/>
      <c r="L23" s="187"/>
      <c r="M23" s="188"/>
      <c r="N23" s="187"/>
    </row>
    <row r="24" spans="1:14" ht="23.25">
      <c r="A24" s="8" t="s">
        <v>32</v>
      </c>
      <c r="B24" s="4"/>
      <c r="C24" s="25"/>
      <c r="D24" s="25"/>
      <c r="E24" s="11"/>
      <c r="F24" s="11"/>
      <c r="G24" s="12"/>
      <c r="H24" s="74"/>
      <c r="I24" s="89"/>
      <c r="J24" s="85"/>
      <c r="L24" s="187"/>
      <c r="M24" s="188"/>
      <c r="N24" s="187"/>
    </row>
    <row r="25" spans="1:14" ht="30">
      <c r="A25" s="4"/>
      <c r="B25" s="4" t="s">
        <v>225</v>
      </c>
      <c r="C25" s="24">
        <v>4000</v>
      </c>
      <c r="D25" s="25" t="s">
        <v>33</v>
      </c>
      <c r="E25" s="11" t="s">
        <v>226</v>
      </c>
      <c r="F25" s="11">
        <v>1</v>
      </c>
      <c r="G25" s="12">
        <v>100000</v>
      </c>
      <c r="H25" s="74">
        <f>G25</f>
        <v>100000</v>
      </c>
      <c r="I25" s="89" t="s">
        <v>104</v>
      </c>
      <c r="J25" s="85"/>
      <c r="L25" s="187"/>
      <c r="M25" s="188">
        <f>H25</f>
        <v>100000</v>
      </c>
      <c r="N25" s="187"/>
    </row>
    <row r="26" spans="1:14" ht="45">
      <c r="A26" s="4"/>
      <c r="B26" s="4" t="s">
        <v>227</v>
      </c>
      <c r="C26" s="24">
        <v>51738</v>
      </c>
      <c r="D26" s="25" t="s">
        <v>14</v>
      </c>
      <c r="E26" s="11" t="s">
        <v>241</v>
      </c>
      <c r="F26" s="11">
        <v>1</v>
      </c>
      <c r="G26" s="12">
        <f>5.6</f>
        <v>5.6</v>
      </c>
      <c r="H26" s="74">
        <f>(C26*G26)</f>
        <v>289732.8</v>
      </c>
      <c r="I26" s="89" t="s">
        <v>104</v>
      </c>
      <c r="J26" s="85"/>
      <c r="L26" s="187"/>
      <c r="M26" s="188">
        <f>H26</f>
        <v>289732.8</v>
      </c>
      <c r="N26" s="189"/>
    </row>
    <row r="27" spans="1:14" ht="30">
      <c r="A27" s="4"/>
      <c r="B27" s="4" t="s">
        <v>228</v>
      </c>
      <c r="C27" s="24">
        <v>22491</v>
      </c>
      <c r="D27" s="25" t="s">
        <v>14</v>
      </c>
      <c r="E27" s="11" t="s">
        <v>229</v>
      </c>
      <c r="F27" s="11">
        <v>5</v>
      </c>
      <c r="G27" s="12">
        <v>8.5</v>
      </c>
      <c r="H27" s="74">
        <f>(C27*G27)</f>
        <v>191173.5</v>
      </c>
      <c r="I27" s="89"/>
      <c r="J27" s="85" t="s">
        <v>104</v>
      </c>
      <c r="L27" s="187"/>
      <c r="M27" s="187"/>
      <c r="N27" s="188">
        <f>H27</f>
        <v>191173.5</v>
      </c>
    </row>
    <row r="28" spans="1:14" ht="105">
      <c r="A28" s="4"/>
      <c r="B28" s="4" t="s">
        <v>231</v>
      </c>
      <c r="C28" s="24">
        <v>51750</v>
      </c>
      <c r="D28" s="25" t="s">
        <v>34</v>
      </c>
      <c r="E28" s="11" t="s">
        <v>232</v>
      </c>
      <c r="F28" s="11">
        <v>1</v>
      </c>
      <c r="G28" s="12">
        <v>20</v>
      </c>
      <c r="H28" s="74">
        <f>(C28*G28)</f>
        <v>1035000</v>
      </c>
      <c r="I28" s="89" t="s">
        <v>104</v>
      </c>
      <c r="J28" s="85"/>
      <c r="L28" s="187"/>
      <c r="M28" s="200">
        <f>H28</f>
        <v>1035000</v>
      </c>
      <c r="N28" s="188"/>
    </row>
    <row r="29" spans="1:14" ht="30">
      <c r="A29" s="4"/>
      <c r="B29" s="4" t="s">
        <v>233</v>
      </c>
      <c r="C29" s="24">
        <v>7000</v>
      </c>
      <c r="D29" s="25" t="s">
        <v>34</v>
      </c>
      <c r="E29" s="11" t="s">
        <v>234</v>
      </c>
      <c r="F29" s="11">
        <v>1</v>
      </c>
      <c r="G29" s="12">
        <v>20</v>
      </c>
      <c r="H29" s="74">
        <f>(C29*G29)</f>
        <v>140000</v>
      </c>
      <c r="I29" s="89" t="s">
        <v>104</v>
      </c>
      <c r="J29" s="85"/>
      <c r="L29" s="189"/>
      <c r="M29" s="188">
        <f>H29</f>
        <v>140000</v>
      </c>
      <c r="N29" s="187"/>
    </row>
    <row r="30" spans="1:14" ht="60">
      <c r="A30" s="4"/>
      <c r="B30" s="4" t="s">
        <v>235</v>
      </c>
      <c r="C30" s="24">
        <v>15250</v>
      </c>
      <c r="D30" s="25" t="s">
        <v>34</v>
      </c>
      <c r="E30" s="11" t="s">
        <v>236</v>
      </c>
      <c r="F30" s="11">
        <v>3</v>
      </c>
      <c r="G30" s="12">
        <f>1*0</f>
        <v>0</v>
      </c>
      <c r="H30" s="74">
        <f t="shared" si="0"/>
        <v>0</v>
      </c>
      <c r="I30" s="89"/>
      <c r="J30" s="85" t="s">
        <v>104</v>
      </c>
      <c r="L30" s="189"/>
      <c r="M30" s="187"/>
      <c r="N30" s="200">
        <f>H30</f>
        <v>0</v>
      </c>
    </row>
    <row r="31" spans="1:14" ht="45">
      <c r="A31" s="4"/>
      <c r="B31" s="4" t="s">
        <v>237</v>
      </c>
      <c r="C31" s="24">
        <v>3000</v>
      </c>
      <c r="D31" s="25" t="s">
        <v>34</v>
      </c>
      <c r="E31" s="11" t="s">
        <v>238</v>
      </c>
      <c r="F31" s="11">
        <v>3</v>
      </c>
      <c r="G31" s="12">
        <f>12.35*0</f>
        <v>0</v>
      </c>
      <c r="H31" s="74">
        <f>C31*G31*0</f>
        <v>0</v>
      </c>
      <c r="I31" s="89"/>
      <c r="J31" s="85" t="s">
        <v>104</v>
      </c>
      <c r="L31" s="189"/>
      <c r="M31" s="187"/>
      <c r="N31" s="200">
        <f>H31</f>
        <v>0</v>
      </c>
    </row>
    <row r="32" spans="1:14" ht="45">
      <c r="A32" s="4"/>
      <c r="B32" s="4" t="s">
        <v>239</v>
      </c>
      <c r="C32" s="24">
        <v>14000</v>
      </c>
      <c r="D32" s="25" t="s">
        <v>34</v>
      </c>
      <c r="E32" s="11" t="s">
        <v>240</v>
      </c>
      <c r="F32" s="11">
        <v>1</v>
      </c>
      <c r="G32" s="12">
        <v>20</v>
      </c>
      <c r="H32" s="74">
        <f>(C32*G32)</f>
        <v>280000</v>
      </c>
      <c r="I32" s="89" t="s">
        <v>104</v>
      </c>
      <c r="J32" s="85"/>
      <c r="L32" s="189"/>
      <c r="M32" s="200">
        <f>H32</f>
        <v>280000</v>
      </c>
      <c r="N32" s="187"/>
    </row>
    <row r="33" spans="1:14" s="115" customFormat="1" ht="45">
      <c r="A33" s="4"/>
      <c r="B33" s="4" t="s">
        <v>244</v>
      </c>
      <c r="C33" s="24">
        <v>3000</v>
      </c>
      <c r="D33" s="25" t="s">
        <v>34</v>
      </c>
      <c r="E33" s="11" t="s">
        <v>245</v>
      </c>
      <c r="F33" s="11">
        <v>1</v>
      </c>
      <c r="G33" s="12">
        <v>20</v>
      </c>
      <c r="H33" s="74">
        <f>(C33*G33)</f>
        <v>60000</v>
      </c>
      <c r="I33" s="89" t="s">
        <v>104</v>
      </c>
      <c r="J33" s="85"/>
      <c r="L33" s="187"/>
      <c r="M33" s="200">
        <f>H33</f>
        <v>60000</v>
      </c>
      <c r="N33" s="187"/>
    </row>
    <row r="34" spans="1:14" ht="60">
      <c r="A34" s="4"/>
      <c r="B34" s="4" t="s">
        <v>242</v>
      </c>
      <c r="C34" s="25">
        <v>2</v>
      </c>
      <c r="D34" s="25" t="s">
        <v>31</v>
      </c>
      <c r="E34" s="11" t="s">
        <v>243</v>
      </c>
      <c r="F34" s="11">
        <v>5</v>
      </c>
      <c r="G34" s="12">
        <f>5000*0</f>
        <v>0</v>
      </c>
      <c r="H34" s="167">
        <f>C34*G34*0</f>
        <v>0</v>
      </c>
      <c r="I34" s="89"/>
      <c r="J34" s="85" t="s">
        <v>104</v>
      </c>
      <c r="L34" s="187"/>
      <c r="M34" s="200">
        <f>H34</f>
        <v>0</v>
      </c>
      <c r="N34" s="187"/>
    </row>
    <row r="35" spans="1:14" ht="30">
      <c r="A35" s="4"/>
      <c r="B35" s="4" t="s">
        <v>223</v>
      </c>
      <c r="C35" s="24">
        <v>59096</v>
      </c>
      <c r="D35" s="25" t="s">
        <v>14</v>
      </c>
      <c r="E35" s="11" t="s">
        <v>246</v>
      </c>
      <c r="F35" s="11">
        <v>1</v>
      </c>
      <c r="G35" s="12">
        <f>0.25</f>
        <v>0.25</v>
      </c>
      <c r="H35" s="74">
        <f>C35*G35*0.5</f>
        <v>7387</v>
      </c>
      <c r="I35" s="89" t="s">
        <v>104</v>
      </c>
      <c r="J35" s="85"/>
      <c r="L35" s="188"/>
      <c r="M35" s="200">
        <f>H35</f>
        <v>7387</v>
      </c>
      <c r="N35" s="187"/>
    </row>
    <row r="36" spans="1:14" ht="30">
      <c r="A36" s="4"/>
      <c r="B36" s="4" t="s">
        <v>220</v>
      </c>
      <c r="C36" s="24">
        <v>15133</v>
      </c>
      <c r="D36" s="25" t="s">
        <v>14</v>
      </c>
      <c r="E36" s="11" t="s">
        <v>221</v>
      </c>
      <c r="F36" s="11">
        <v>3</v>
      </c>
      <c r="G36" s="12">
        <f>0.4*0</f>
        <v>0</v>
      </c>
      <c r="H36" s="74">
        <f t="shared" si="0"/>
        <v>0</v>
      </c>
      <c r="I36" s="89"/>
      <c r="J36" s="85" t="s">
        <v>104</v>
      </c>
      <c r="L36" s="187"/>
      <c r="M36" s="187"/>
      <c r="N36" s="200">
        <f>H36</f>
        <v>0</v>
      </c>
    </row>
    <row r="37" spans="1:14" ht="45">
      <c r="A37" s="4"/>
      <c r="B37" s="4" t="s">
        <v>222</v>
      </c>
      <c r="C37" s="24">
        <v>74229</v>
      </c>
      <c r="D37" s="25" t="s">
        <v>14</v>
      </c>
      <c r="E37" s="11" t="s">
        <v>224</v>
      </c>
      <c r="F37" s="11">
        <v>1</v>
      </c>
      <c r="G37" s="12">
        <f>4</f>
        <v>4</v>
      </c>
      <c r="H37" s="74">
        <f t="shared" si="0"/>
        <v>296916</v>
      </c>
      <c r="I37" s="89" t="s">
        <v>104</v>
      </c>
      <c r="J37" s="85"/>
      <c r="L37" s="187"/>
      <c r="M37" s="200">
        <f>H37</f>
        <v>296916</v>
      </c>
      <c r="N37" s="187"/>
    </row>
    <row r="38" spans="1:14" ht="75">
      <c r="A38" s="4"/>
      <c r="B38" s="4" t="s">
        <v>35</v>
      </c>
      <c r="C38" s="25">
        <v>250</v>
      </c>
      <c r="D38" s="25" t="s">
        <v>36</v>
      </c>
      <c r="E38" s="11" t="s">
        <v>230</v>
      </c>
      <c r="F38" s="11">
        <v>5</v>
      </c>
      <c r="G38" s="12">
        <f>1500</f>
        <v>1500</v>
      </c>
      <c r="H38" s="74">
        <f>(C38*G38)</f>
        <v>375000</v>
      </c>
      <c r="I38" s="89"/>
      <c r="J38" s="85" t="s">
        <v>104</v>
      </c>
      <c r="L38" s="187"/>
      <c r="M38" s="188">
        <f>H38</f>
        <v>375000</v>
      </c>
      <c r="N38" s="189"/>
    </row>
    <row r="39" spans="1:14" ht="15.75" thickBot="1">
      <c r="A39" s="4"/>
      <c r="B39" s="4"/>
      <c r="C39" s="25"/>
      <c r="D39" s="25"/>
      <c r="E39" s="11"/>
      <c r="F39" s="11"/>
      <c r="G39" s="12"/>
      <c r="H39" s="66"/>
      <c r="I39" s="72"/>
      <c r="J39" s="73"/>
      <c r="L39" s="187"/>
      <c r="M39" s="187"/>
      <c r="N39" s="189"/>
    </row>
    <row r="40" spans="1:14" ht="16.5" thickTop="1" thickBot="1">
      <c r="G40" s="26" t="s">
        <v>37</v>
      </c>
      <c r="H40" s="17">
        <f>SUM(H11:H39)</f>
        <v>3655297.3</v>
      </c>
      <c r="L40" s="191">
        <f>SUM(L10:L39)</f>
        <v>321916</v>
      </c>
      <c r="M40" s="191">
        <f t="shared" ref="M40:N40" si="1">SUM(M10:M39)</f>
        <v>3142207.8</v>
      </c>
      <c r="N40" s="191">
        <f t="shared" si="1"/>
        <v>191173.5</v>
      </c>
    </row>
    <row r="41" spans="1:14">
      <c r="F41" s="18" t="s">
        <v>38</v>
      </c>
      <c r="G41" s="19">
        <f>Arch!G48</f>
        <v>0.1</v>
      </c>
      <c r="H41" s="13">
        <f>H40*G41</f>
        <v>365529.73</v>
      </c>
      <c r="L41" s="192">
        <f>L40*G41</f>
        <v>32191.600000000002</v>
      </c>
      <c r="M41" s="192">
        <f>M40*G41</f>
        <v>314220.77999999997</v>
      </c>
      <c r="N41" s="192">
        <f>N40*G41</f>
        <v>19117.350000000002</v>
      </c>
    </row>
    <row r="42" spans="1:14">
      <c r="F42" s="18" t="s">
        <v>18</v>
      </c>
      <c r="G42" s="19">
        <f>Arch!G49</f>
        <v>0.05</v>
      </c>
      <c r="H42" s="13">
        <f>H40*G42</f>
        <v>182764.86499999999</v>
      </c>
      <c r="L42" s="189">
        <f>L40*G42</f>
        <v>16095.800000000001</v>
      </c>
      <c r="M42" s="189">
        <f>M40*G42</f>
        <v>157110.38999999998</v>
      </c>
      <c r="N42" s="189">
        <f>N40*G42</f>
        <v>9558.6750000000011</v>
      </c>
    </row>
    <row r="43" spans="1:14">
      <c r="F43" s="22" t="s">
        <v>19</v>
      </c>
      <c r="G43" s="19">
        <f>Arch!G50</f>
        <v>7.0000000000000007E-2</v>
      </c>
      <c r="H43" s="13">
        <f>H40*G43</f>
        <v>255870.81100000002</v>
      </c>
      <c r="L43" s="189">
        <f>L40*G43</f>
        <v>22534.120000000003</v>
      </c>
      <c r="M43" s="189">
        <f>M40*G43</f>
        <v>219954.546</v>
      </c>
      <c r="N43" s="189">
        <f>N40*G43</f>
        <v>13382.145</v>
      </c>
    </row>
    <row r="44" spans="1:14" ht="15.75" thickBot="1">
      <c r="F44" s="22" t="s">
        <v>20</v>
      </c>
      <c r="G44" s="19">
        <f>Arch!G51</f>
        <v>0.03</v>
      </c>
      <c r="H44" s="13">
        <f>H40*G44</f>
        <v>109658.91899999999</v>
      </c>
      <c r="J44" s="27"/>
      <c r="L44" s="193">
        <f>L40*G44</f>
        <v>9657.48</v>
      </c>
      <c r="M44" s="193">
        <f>M40*G44</f>
        <v>94266.233999999997</v>
      </c>
      <c r="N44" s="193">
        <f>N40*G44</f>
        <v>5735.2049999999999</v>
      </c>
    </row>
    <row r="45" spans="1:14" ht="15.75" thickBot="1">
      <c r="F45" s="15"/>
      <c r="G45" s="28" t="s">
        <v>21</v>
      </c>
      <c r="H45" s="13">
        <f>SUM(H40:H43)</f>
        <v>4459462.7059999993</v>
      </c>
      <c r="L45" s="191">
        <f>SUM(L40:L44)</f>
        <v>402394.99999999994</v>
      </c>
      <c r="M45" s="191">
        <f t="shared" ref="M45:N45" si="2">SUM(M40:M44)</f>
        <v>3927759.75</v>
      </c>
      <c r="N45" s="191">
        <f t="shared" si="2"/>
        <v>238966.87499999997</v>
      </c>
    </row>
    <row r="46" spans="1:14" ht="30.75" thickBot="1">
      <c r="F46" s="15" t="s">
        <v>22</v>
      </c>
      <c r="G46" s="19">
        <f>Arch!G53</f>
        <v>0.18</v>
      </c>
      <c r="H46" s="13">
        <f>H45*G46</f>
        <v>802703.28707999981</v>
      </c>
      <c r="L46" s="194">
        <f>L45*G46</f>
        <v>72431.099999999991</v>
      </c>
      <c r="M46" s="194">
        <f>M45*G46</f>
        <v>706996.755</v>
      </c>
      <c r="N46" s="194">
        <f>N45*G46</f>
        <v>43014.037499999991</v>
      </c>
    </row>
    <row r="47" spans="1:14" ht="15.75" thickBot="1">
      <c r="F47" s="15"/>
      <c r="G47" s="29" t="s">
        <v>23</v>
      </c>
      <c r="H47" s="17">
        <f>SUM(H45:H46)</f>
        <v>5262165.9930799995</v>
      </c>
      <c r="L47" s="191">
        <f>SUM(L45:L46)</f>
        <v>474826.09999999992</v>
      </c>
      <c r="M47" s="191">
        <f t="shared" ref="M47:N47" si="3">SUM(M45:M46)</f>
        <v>4634756.5049999999</v>
      </c>
      <c r="N47" s="191">
        <f t="shared" si="3"/>
        <v>281980.91249999998</v>
      </c>
    </row>
    <row r="48" spans="1:14">
      <c r="F48" s="15"/>
    </row>
    <row r="49" spans="6:6">
      <c r="F49" s="15"/>
    </row>
    <row r="50" spans="6:6">
      <c r="F50" s="15"/>
    </row>
    <row r="51" spans="6:6">
      <c r="F51" s="15"/>
    </row>
    <row r="52" spans="6:6">
      <c r="F52" s="15"/>
    </row>
    <row r="53" spans="6:6">
      <c r="F53" s="15"/>
    </row>
    <row r="54" spans="6:6">
      <c r="F54" s="15"/>
    </row>
    <row r="55" spans="6:6">
      <c r="F55" s="15"/>
    </row>
    <row r="56" spans="6:6">
      <c r="F56" s="15"/>
    </row>
    <row r="57" spans="6:6">
      <c r="F57" s="15"/>
    </row>
    <row r="58" spans="6:6">
      <c r="F58" s="15"/>
    </row>
    <row r="59" spans="6:6">
      <c r="F59" s="15"/>
    </row>
    <row r="60" spans="6:6">
      <c r="F60" s="15"/>
    </row>
    <row r="61" spans="6:6">
      <c r="F61" s="15"/>
    </row>
    <row r="62" spans="6:6">
      <c r="F62" s="15"/>
    </row>
    <row r="63" spans="6:6">
      <c r="F63" s="15"/>
    </row>
    <row r="64" spans="6:6">
      <c r="F64" s="15"/>
    </row>
    <row r="65" spans="6:6">
      <c r="F65" s="15"/>
    </row>
    <row r="66" spans="6:6">
      <c r="F66" s="15"/>
    </row>
    <row r="67" spans="6:6">
      <c r="F67" s="15"/>
    </row>
    <row r="68" spans="6:6">
      <c r="F68" s="15"/>
    </row>
    <row r="69" spans="6:6">
      <c r="F69" s="15"/>
    </row>
    <row r="70" spans="6:6">
      <c r="F70" s="15"/>
    </row>
    <row r="71" spans="6:6">
      <c r="F71" s="15"/>
    </row>
    <row r="72" spans="6:6">
      <c r="F72" s="15"/>
    </row>
  </sheetData>
  <mergeCells count="6">
    <mergeCell ref="I7:J8"/>
    <mergeCell ref="G7:H7"/>
    <mergeCell ref="G3:H3"/>
    <mergeCell ref="G4:H4"/>
    <mergeCell ref="G5:H5"/>
    <mergeCell ref="G6:H6"/>
  </mergeCells>
  <pageMargins left="0.7" right="0.7" top="0.75" bottom="0.75" header="0.3" footer="0.3"/>
  <pageSetup paperSize="3" scale="35" orientation="landscape" r:id="rId1"/>
  <headerFooter scaleWithDoc="0">
    <oddHeader>&amp;R&amp;G</oddHeader>
  </headerFooter>
  <rowBreaks count="2" manualBreakCount="2">
    <brk id="23" max="16" man="1"/>
    <brk id="31" max="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view="pageBreakPreview" zoomScale="60" zoomScaleNormal="85" workbookViewId="0">
      <selection activeCell="L1" sqref="L1:N1048576"/>
    </sheetView>
  </sheetViews>
  <sheetFormatPr defaultRowHeight="15"/>
  <cols>
    <col min="1" max="1" width="2.42578125" customWidth="1"/>
    <col min="2" max="2" width="46" customWidth="1"/>
    <col min="3" max="3" width="12.7109375" customWidth="1"/>
    <col min="4" max="4" width="4.7109375" customWidth="1"/>
    <col min="5" max="5" width="54.85546875" customWidth="1"/>
    <col min="6" max="6" width="13.140625" customWidth="1"/>
    <col min="7" max="7" width="14.140625" customWidth="1"/>
    <col min="8" max="8" width="17.140625" customWidth="1"/>
    <col min="9" max="10" width="0" hidden="1" customWidth="1"/>
    <col min="11" max="11" width="4.140625" customWidth="1"/>
    <col min="12" max="14" width="13.7109375" style="184" customWidth="1"/>
  </cols>
  <sheetData>
    <row r="1" spans="1:14" ht="23.25">
      <c r="B1" s="1" t="s">
        <v>39</v>
      </c>
      <c r="C1" s="1"/>
      <c r="D1" s="1"/>
      <c r="E1" s="1"/>
      <c r="F1" s="1"/>
    </row>
    <row r="2" spans="1:14" ht="23.25">
      <c r="B2" s="1"/>
      <c r="C2" s="1"/>
      <c r="D2" s="1"/>
      <c r="E2" s="1"/>
      <c r="H2" s="2" t="s">
        <v>1</v>
      </c>
    </row>
    <row r="3" spans="1:14">
      <c r="A3" s="3" t="s">
        <v>2</v>
      </c>
      <c r="B3" s="4"/>
      <c r="C3" s="5" t="str">
        <f>Arch!C3</f>
        <v>Yellow Springs School</v>
      </c>
      <c r="D3" s="5"/>
      <c r="E3" s="5"/>
      <c r="F3" s="4"/>
      <c r="G3" s="6" t="s">
        <v>3</v>
      </c>
      <c r="H3" s="4"/>
      <c r="L3" s="184" t="s">
        <v>296</v>
      </c>
    </row>
    <row r="4" spans="1:14">
      <c r="A4" s="3" t="s">
        <v>4</v>
      </c>
      <c r="B4" s="4"/>
      <c r="C4" s="5" t="str">
        <f>Arch!C4</f>
        <v>Yellow Springs HS/MMS</v>
      </c>
      <c r="D4" s="5"/>
      <c r="E4" s="5"/>
      <c r="F4" s="4"/>
      <c r="G4" s="6" t="s">
        <v>5</v>
      </c>
      <c r="H4" s="4"/>
      <c r="L4" s="184" t="s">
        <v>297</v>
      </c>
    </row>
    <row r="5" spans="1:14">
      <c r="A5" s="3" t="s">
        <v>6</v>
      </c>
      <c r="B5" s="4"/>
      <c r="C5" s="5" t="str">
        <f>Arch!C5</f>
        <v>Yellow Springs HS/MMS</v>
      </c>
      <c r="D5" s="5"/>
      <c r="E5" s="5"/>
      <c r="F5" s="4"/>
      <c r="G5" s="6" t="s">
        <v>7</v>
      </c>
      <c r="H5" s="4"/>
      <c r="L5" s="184" t="s">
        <v>298</v>
      </c>
    </row>
    <row r="6" spans="1:14" ht="15.75" thickBot="1">
      <c r="A6" s="8" t="s">
        <v>25</v>
      </c>
      <c r="B6" s="4"/>
      <c r="C6" s="24">
        <f>Arch!C6</f>
        <v>74229</v>
      </c>
      <c r="D6" s="25" t="s">
        <v>14</v>
      </c>
      <c r="E6" s="4"/>
      <c r="F6" s="4"/>
      <c r="G6" s="7" t="s">
        <v>8</v>
      </c>
      <c r="H6" s="4"/>
      <c r="L6" s="184" t="s">
        <v>299</v>
      </c>
    </row>
    <row r="7" spans="1:14" ht="15.75" thickTop="1">
      <c r="A7" s="4"/>
      <c r="B7" s="4"/>
      <c r="C7" s="4"/>
      <c r="D7" s="4"/>
      <c r="E7" s="4"/>
      <c r="F7" s="4"/>
      <c r="G7" s="175" t="s">
        <v>95</v>
      </c>
      <c r="H7" s="176"/>
      <c r="I7" s="180" t="s">
        <v>100</v>
      </c>
      <c r="J7" s="181"/>
    </row>
    <row r="8" spans="1:14" ht="15.75" thickBot="1">
      <c r="A8" s="4"/>
      <c r="B8" s="4"/>
      <c r="C8" s="4"/>
      <c r="D8" s="4"/>
      <c r="E8" s="4"/>
      <c r="F8" s="4"/>
      <c r="G8" s="7"/>
      <c r="H8" s="66"/>
      <c r="I8" s="182"/>
      <c r="J8" s="183"/>
    </row>
    <row r="9" spans="1:14" ht="15.75" thickBot="1">
      <c r="A9" s="8"/>
      <c r="B9" s="4"/>
      <c r="C9" s="9" t="s">
        <v>9</v>
      </c>
      <c r="D9" s="9"/>
      <c r="E9" s="9" t="s">
        <v>10</v>
      </c>
      <c r="F9" s="9" t="s">
        <v>11</v>
      </c>
      <c r="G9" s="9" t="s">
        <v>12</v>
      </c>
      <c r="H9" s="67" t="s">
        <v>13</v>
      </c>
      <c r="I9" s="75" t="s">
        <v>101</v>
      </c>
      <c r="J9" s="76" t="s">
        <v>102</v>
      </c>
      <c r="L9" s="195" t="s">
        <v>293</v>
      </c>
      <c r="M9" s="196" t="s">
        <v>294</v>
      </c>
      <c r="N9" s="197" t="s">
        <v>295</v>
      </c>
    </row>
    <row r="10" spans="1:14" s="34" customFormat="1">
      <c r="A10" s="62" t="s">
        <v>40</v>
      </c>
      <c r="B10" s="31"/>
      <c r="C10" s="31"/>
      <c r="D10" s="31"/>
      <c r="E10" s="14"/>
      <c r="F10" s="14"/>
      <c r="G10" s="31"/>
      <c r="H10" s="77"/>
      <c r="I10" s="80"/>
      <c r="J10" s="81"/>
      <c r="L10" s="198"/>
      <c r="M10" s="199"/>
      <c r="N10" s="198"/>
    </row>
    <row r="11" spans="1:14" s="34" customFormat="1" ht="21">
      <c r="A11" s="4"/>
      <c r="B11" s="4" t="s">
        <v>247</v>
      </c>
      <c r="C11" s="10">
        <v>1</v>
      </c>
      <c r="D11" s="127" t="s">
        <v>31</v>
      </c>
      <c r="E11" s="11" t="s">
        <v>248</v>
      </c>
      <c r="F11" s="11"/>
      <c r="G11" s="33">
        <v>50000</v>
      </c>
      <c r="H11" s="78">
        <f>G11*C11</f>
        <v>50000</v>
      </c>
      <c r="I11" s="94"/>
      <c r="J11" s="95" t="s">
        <v>270</v>
      </c>
      <c r="L11" s="187"/>
      <c r="M11" s="188"/>
      <c r="N11" s="200">
        <f>H11</f>
        <v>50000</v>
      </c>
    </row>
    <row r="12" spans="1:14" ht="30">
      <c r="A12" s="127"/>
      <c r="B12" s="4" t="s">
        <v>41</v>
      </c>
      <c r="C12" s="10">
        <v>1</v>
      </c>
      <c r="D12" s="127" t="s">
        <v>31</v>
      </c>
      <c r="E12" s="11" t="s">
        <v>249</v>
      </c>
      <c r="F12" s="11">
        <v>3</v>
      </c>
      <c r="G12" s="33">
        <f>6675*0</f>
        <v>0</v>
      </c>
      <c r="H12" s="78">
        <f>C12*G12</f>
        <v>0</v>
      </c>
      <c r="I12" s="88"/>
      <c r="J12" s="84" t="s">
        <v>270</v>
      </c>
      <c r="L12" s="188"/>
      <c r="M12" s="200">
        <f>H12</f>
        <v>0</v>
      </c>
      <c r="N12" s="187"/>
    </row>
    <row r="13" spans="1:14" ht="21">
      <c r="A13" s="127"/>
      <c r="B13" s="4"/>
      <c r="C13" s="10">
        <v>1</v>
      </c>
      <c r="D13" s="127" t="s">
        <v>31</v>
      </c>
      <c r="E13" s="35" t="s">
        <v>250</v>
      </c>
      <c r="F13" s="11">
        <v>2</v>
      </c>
      <c r="G13" s="33">
        <v>12000</v>
      </c>
      <c r="H13" s="78">
        <f t="shared" ref="H13:H41" si="0">C13*G13</f>
        <v>12000</v>
      </c>
      <c r="I13" s="88" t="s">
        <v>270</v>
      </c>
      <c r="J13" s="84"/>
      <c r="L13" s="188"/>
      <c r="M13" s="200">
        <f>H13</f>
        <v>12000</v>
      </c>
      <c r="N13" s="187"/>
    </row>
    <row r="14" spans="1:14" ht="21">
      <c r="A14" s="127"/>
      <c r="B14" s="4"/>
      <c r="C14" s="10">
        <v>2</v>
      </c>
      <c r="D14" s="127" t="s">
        <v>31</v>
      </c>
      <c r="E14" s="35" t="s">
        <v>251</v>
      </c>
      <c r="F14" s="11">
        <v>2</v>
      </c>
      <c r="G14" s="33">
        <v>12000</v>
      </c>
      <c r="H14" s="78">
        <f t="shared" si="0"/>
        <v>24000</v>
      </c>
      <c r="I14" s="88" t="s">
        <v>270</v>
      </c>
      <c r="J14" s="84"/>
      <c r="L14" s="189"/>
      <c r="M14" s="188">
        <f>H14</f>
        <v>24000</v>
      </c>
      <c r="N14" s="187"/>
    </row>
    <row r="15" spans="1:14" ht="30">
      <c r="A15" s="127"/>
      <c r="B15" s="4" t="s">
        <v>42</v>
      </c>
      <c r="C15" s="10">
        <v>16</v>
      </c>
      <c r="D15" s="127" t="s">
        <v>31</v>
      </c>
      <c r="E15" s="11" t="s">
        <v>43</v>
      </c>
      <c r="F15" s="11">
        <v>1</v>
      </c>
      <c r="G15" s="33">
        <v>5325</v>
      </c>
      <c r="H15" s="78">
        <f t="shared" si="0"/>
        <v>85200</v>
      </c>
      <c r="I15" s="88"/>
      <c r="J15" s="84" t="s">
        <v>270</v>
      </c>
      <c r="L15" s="187"/>
      <c r="M15" s="200">
        <f>H15</f>
        <v>85200</v>
      </c>
      <c r="N15" s="187"/>
    </row>
    <row r="16" spans="1:14" ht="30">
      <c r="A16" s="127"/>
      <c r="B16" s="4"/>
      <c r="C16" s="10"/>
      <c r="D16" s="127" t="s">
        <v>31</v>
      </c>
      <c r="E16" s="36" t="s">
        <v>103</v>
      </c>
      <c r="F16" s="11">
        <v>3</v>
      </c>
      <c r="G16" s="33">
        <f>5325*0</f>
        <v>0</v>
      </c>
      <c r="H16" s="78">
        <f t="shared" si="0"/>
        <v>0</v>
      </c>
      <c r="I16" s="88"/>
      <c r="J16" s="84" t="s">
        <v>270</v>
      </c>
      <c r="L16" s="187"/>
      <c r="M16" s="187"/>
      <c r="N16" s="200">
        <f>H16</f>
        <v>0</v>
      </c>
    </row>
    <row r="17" spans="1:14" ht="30">
      <c r="A17" s="127"/>
      <c r="B17" s="4" t="s">
        <v>44</v>
      </c>
      <c r="C17" s="10">
        <v>74229</v>
      </c>
      <c r="D17" s="127" t="s">
        <v>14</v>
      </c>
      <c r="E17" s="11" t="s">
        <v>45</v>
      </c>
      <c r="F17" s="11">
        <v>2</v>
      </c>
      <c r="G17" s="33">
        <v>2</v>
      </c>
      <c r="H17" s="78">
        <f>C17*G17</f>
        <v>148458</v>
      </c>
      <c r="I17" s="88"/>
      <c r="J17" s="84" t="s">
        <v>270</v>
      </c>
      <c r="L17" s="188"/>
      <c r="M17" s="187"/>
      <c r="N17" s="200">
        <f>H17</f>
        <v>148458</v>
      </c>
    </row>
    <row r="18" spans="1:14" ht="30">
      <c r="A18" s="127"/>
      <c r="B18" s="4" t="s">
        <v>46</v>
      </c>
      <c r="C18" s="10">
        <v>180</v>
      </c>
      <c r="D18" s="127" t="s">
        <v>31</v>
      </c>
      <c r="E18" s="11" t="s">
        <v>47</v>
      </c>
      <c r="F18" s="11">
        <v>2</v>
      </c>
      <c r="G18" s="33">
        <v>310</v>
      </c>
      <c r="H18" s="78">
        <f>C18*G18</f>
        <v>55800</v>
      </c>
      <c r="I18" s="88"/>
      <c r="J18" s="84" t="s">
        <v>270</v>
      </c>
      <c r="L18" s="187"/>
      <c r="M18" s="187"/>
      <c r="N18" s="200">
        <f t="shared" ref="N18:N38" si="1">H18</f>
        <v>55800</v>
      </c>
    </row>
    <row r="19" spans="1:14" ht="30">
      <c r="A19" s="127"/>
      <c r="B19" s="4" t="s">
        <v>48</v>
      </c>
      <c r="C19" s="10">
        <v>96</v>
      </c>
      <c r="D19" s="127" t="s">
        <v>31</v>
      </c>
      <c r="E19" s="11" t="s">
        <v>49</v>
      </c>
      <c r="F19" s="11">
        <v>2</v>
      </c>
      <c r="G19" s="33">
        <v>310</v>
      </c>
      <c r="H19" s="78">
        <f>C19*G19</f>
        <v>29760</v>
      </c>
      <c r="I19" s="88"/>
      <c r="J19" s="84" t="s">
        <v>270</v>
      </c>
      <c r="L19" s="187"/>
      <c r="M19" s="187"/>
      <c r="N19" s="200">
        <f t="shared" si="1"/>
        <v>29760</v>
      </c>
    </row>
    <row r="20" spans="1:14" ht="21">
      <c r="A20" s="127"/>
      <c r="B20" s="4" t="s">
        <v>50</v>
      </c>
      <c r="C20" s="10">
        <v>91</v>
      </c>
      <c r="D20" s="127" t="s">
        <v>31</v>
      </c>
      <c r="E20" s="11" t="s">
        <v>51</v>
      </c>
      <c r="F20" s="11">
        <v>2</v>
      </c>
      <c r="G20" s="33">
        <v>310</v>
      </c>
      <c r="H20" s="78">
        <f t="shared" si="0"/>
        <v>28210</v>
      </c>
      <c r="I20" s="88"/>
      <c r="J20" s="84" t="s">
        <v>270</v>
      </c>
      <c r="K20" s="91"/>
      <c r="L20" s="187"/>
      <c r="M20" s="187"/>
      <c r="N20" s="200">
        <f t="shared" si="1"/>
        <v>28210</v>
      </c>
    </row>
    <row r="21" spans="1:14" ht="21">
      <c r="A21" s="127"/>
      <c r="B21" s="4"/>
      <c r="C21" s="10">
        <v>62</v>
      </c>
      <c r="D21" s="127" t="s">
        <v>31</v>
      </c>
      <c r="E21" s="11" t="s">
        <v>252</v>
      </c>
      <c r="F21" s="11">
        <v>2</v>
      </c>
      <c r="G21" s="33">
        <v>400</v>
      </c>
      <c r="H21" s="78">
        <f t="shared" si="0"/>
        <v>24800</v>
      </c>
      <c r="I21" s="88"/>
      <c r="J21" s="84" t="s">
        <v>270</v>
      </c>
      <c r="L21" s="188"/>
      <c r="M21" s="187"/>
      <c r="N21" s="200">
        <f t="shared" si="1"/>
        <v>24800</v>
      </c>
    </row>
    <row r="22" spans="1:14" ht="21">
      <c r="A22" s="127"/>
      <c r="B22" s="4" t="s">
        <v>253</v>
      </c>
      <c r="C22" s="10">
        <v>32</v>
      </c>
      <c r="D22" s="127" t="s">
        <v>31</v>
      </c>
      <c r="E22" s="11" t="s">
        <v>254</v>
      </c>
      <c r="F22" s="11">
        <v>2</v>
      </c>
      <c r="G22" s="33">
        <v>775</v>
      </c>
      <c r="H22" s="78">
        <f t="shared" si="0"/>
        <v>24800</v>
      </c>
      <c r="I22" s="88"/>
      <c r="J22" s="84" t="s">
        <v>270</v>
      </c>
      <c r="L22" s="188"/>
      <c r="M22" s="187"/>
      <c r="N22" s="200">
        <f t="shared" si="1"/>
        <v>24800</v>
      </c>
    </row>
    <row r="23" spans="1:14" ht="21">
      <c r="A23" s="127"/>
      <c r="B23" s="4" t="s">
        <v>52</v>
      </c>
      <c r="C23" s="10">
        <v>48</v>
      </c>
      <c r="D23" s="127" t="s">
        <v>31</v>
      </c>
      <c r="E23" s="11" t="s">
        <v>255</v>
      </c>
      <c r="F23" s="11">
        <v>2</v>
      </c>
      <c r="G23" s="33">
        <v>400</v>
      </c>
      <c r="H23" s="78">
        <f t="shared" si="0"/>
        <v>19200</v>
      </c>
      <c r="I23" s="88"/>
      <c r="J23" s="84" t="s">
        <v>270</v>
      </c>
      <c r="L23" s="187"/>
      <c r="M23" s="188"/>
      <c r="N23" s="200">
        <f t="shared" si="1"/>
        <v>19200</v>
      </c>
    </row>
    <row r="24" spans="1:14" ht="21">
      <c r="A24" s="127"/>
      <c r="B24" s="4" t="s">
        <v>53</v>
      </c>
      <c r="C24" s="10">
        <v>78</v>
      </c>
      <c r="D24" s="127" t="s">
        <v>31</v>
      </c>
      <c r="E24" s="11" t="s">
        <v>256</v>
      </c>
      <c r="F24" s="11">
        <v>2</v>
      </c>
      <c r="G24" s="33">
        <v>310</v>
      </c>
      <c r="H24" s="78">
        <f t="shared" si="0"/>
        <v>24180</v>
      </c>
      <c r="I24" s="88"/>
      <c r="J24" s="84" t="s">
        <v>270</v>
      </c>
      <c r="L24" s="187"/>
      <c r="M24" s="188"/>
      <c r="N24" s="200">
        <f t="shared" si="1"/>
        <v>24180</v>
      </c>
    </row>
    <row r="25" spans="1:14" ht="21">
      <c r="A25" s="127"/>
      <c r="B25" s="4" t="s">
        <v>54</v>
      </c>
      <c r="C25" s="10">
        <v>35</v>
      </c>
      <c r="D25" s="127" t="s">
        <v>31</v>
      </c>
      <c r="E25" s="11" t="s">
        <v>257</v>
      </c>
      <c r="F25" s="11">
        <v>2</v>
      </c>
      <c r="G25" s="33">
        <v>310</v>
      </c>
      <c r="H25" s="78">
        <f>C25*G25</f>
        <v>10850</v>
      </c>
      <c r="I25" s="88"/>
      <c r="J25" s="84" t="s">
        <v>270</v>
      </c>
      <c r="L25" s="187"/>
      <c r="M25" s="188"/>
      <c r="N25" s="200">
        <f t="shared" si="1"/>
        <v>10850</v>
      </c>
    </row>
    <row r="26" spans="1:14" ht="21">
      <c r="A26" s="127"/>
      <c r="B26" s="4" t="s">
        <v>55</v>
      </c>
      <c r="C26" s="10">
        <v>6</v>
      </c>
      <c r="D26" s="127" t="s">
        <v>31</v>
      </c>
      <c r="E26" s="11" t="s">
        <v>56</v>
      </c>
      <c r="F26" s="11">
        <v>2</v>
      </c>
      <c r="G26" s="33">
        <v>310</v>
      </c>
      <c r="H26" s="78">
        <f>C26*G26</f>
        <v>1860</v>
      </c>
      <c r="I26" s="88"/>
      <c r="J26" s="84" t="s">
        <v>270</v>
      </c>
      <c r="L26" s="187"/>
      <c r="M26" s="188"/>
      <c r="N26" s="200">
        <f t="shared" si="1"/>
        <v>1860</v>
      </c>
    </row>
    <row r="27" spans="1:14" ht="29.25" customHeight="1">
      <c r="A27" s="127"/>
      <c r="B27" s="4"/>
      <c r="C27" s="10">
        <v>70</v>
      </c>
      <c r="D27" s="127" t="s">
        <v>31</v>
      </c>
      <c r="E27" s="11" t="s">
        <v>252</v>
      </c>
      <c r="F27" s="11">
        <v>2</v>
      </c>
      <c r="G27" s="33">
        <v>400</v>
      </c>
      <c r="H27" s="78">
        <f>C27*G27</f>
        <v>28000</v>
      </c>
      <c r="I27" s="88"/>
      <c r="J27" s="84" t="s">
        <v>270</v>
      </c>
      <c r="L27" s="187"/>
      <c r="M27" s="187"/>
      <c r="N27" s="200">
        <f t="shared" si="1"/>
        <v>28000</v>
      </c>
    </row>
    <row r="28" spans="1:14" ht="30">
      <c r="A28" s="127"/>
      <c r="B28" s="4" t="s">
        <v>57</v>
      </c>
      <c r="C28" s="10">
        <v>22</v>
      </c>
      <c r="D28" s="127" t="s">
        <v>31</v>
      </c>
      <c r="E28" s="11" t="s">
        <v>258</v>
      </c>
      <c r="F28" s="11">
        <v>2</v>
      </c>
      <c r="G28" s="33">
        <v>350</v>
      </c>
      <c r="H28" s="78">
        <f>C28*G28</f>
        <v>7700</v>
      </c>
      <c r="I28" s="88"/>
      <c r="J28" s="84" t="s">
        <v>270</v>
      </c>
      <c r="L28" s="187"/>
      <c r="M28" s="189"/>
      <c r="N28" s="200">
        <f t="shared" si="1"/>
        <v>7700</v>
      </c>
    </row>
    <row r="29" spans="1:14" ht="21">
      <c r="A29" s="127"/>
      <c r="B29" s="4" t="s">
        <v>259</v>
      </c>
      <c r="C29" s="10">
        <v>74229</v>
      </c>
      <c r="D29" s="127" t="s">
        <v>14</v>
      </c>
      <c r="E29" s="11" t="s">
        <v>260</v>
      </c>
      <c r="F29" s="11"/>
      <c r="G29" s="33">
        <v>2</v>
      </c>
      <c r="H29" s="78">
        <f>C29*G29</f>
        <v>148458</v>
      </c>
      <c r="I29" s="88"/>
      <c r="J29" s="84" t="s">
        <v>270</v>
      </c>
      <c r="L29" s="189"/>
      <c r="M29" s="188"/>
      <c r="N29" s="200">
        <f t="shared" si="1"/>
        <v>148458</v>
      </c>
    </row>
    <row r="30" spans="1:14" ht="21">
      <c r="A30" s="127"/>
      <c r="B30" s="4" t="s">
        <v>58</v>
      </c>
      <c r="C30" s="10">
        <v>64</v>
      </c>
      <c r="D30" s="127" t="s">
        <v>31</v>
      </c>
      <c r="E30" s="11" t="s">
        <v>59</v>
      </c>
      <c r="F30" s="11">
        <v>3</v>
      </c>
      <c r="G30" s="33">
        <f>63.15*0</f>
        <v>0</v>
      </c>
      <c r="H30" s="78">
        <f t="shared" si="0"/>
        <v>0</v>
      </c>
      <c r="I30" s="88"/>
      <c r="J30" s="84" t="s">
        <v>270</v>
      </c>
      <c r="L30" s="189"/>
      <c r="M30" s="187"/>
      <c r="N30" s="200">
        <f t="shared" si="1"/>
        <v>0</v>
      </c>
    </row>
    <row r="31" spans="1:14" ht="21">
      <c r="A31" s="127"/>
      <c r="B31" s="4"/>
      <c r="C31" s="10">
        <v>64</v>
      </c>
      <c r="D31" s="127" t="s">
        <v>31</v>
      </c>
      <c r="E31" s="11" t="s">
        <v>61</v>
      </c>
      <c r="F31" s="11">
        <v>2</v>
      </c>
      <c r="G31" s="33">
        <v>120</v>
      </c>
      <c r="H31" s="78">
        <f>C31*G31</f>
        <v>7680</v>
      </c>
      <c r="I31" s="88"/>
      <c r="J31" s="84" t="s">
        <v>270</v>
      </c>
      <c r="K31" s="23"/>
      <c r="L31" s="189"/>
      <c r="M31" s="200">
        <f>H31</f>
        <v>7680</v>
      </c>
      <c r="N31" s="200"/>
    </row>
    <row r="32" spans="1:14" ht="21">
      <c r="A32" s="127"/>
      <c r="B32" s="4" t="s">
        <v>60</v>
      </c>
      <c r="C32" s="10">
        <v>60</v>
      </c>
      <c r="D32" s="127" t="s">
        <v>31</v>
      </c>
      <c r="E32" s="11" t="s">
        <v>59</v>
      </c>
      <c r="F32" s="11">
        <v>3</v>
      </c>
      <c r="G32" s="33">
        <f>62.8*0</f>
        <v>0</v>
      </c>
      <c r="H32" s="78">
        <f t="shared" si="0"/>
        <v>0</v>
      </c>
      <c r="I32" s="88"/>
      <c r="J32" s="84" t="s">
        <v>270</v>
      </c>
      <c r="L32" s="189"/>
      <c r="M32" s="187"/>
      <c r="N32" s="200">
        <f t="shared" si="1"/>
        <v>0</v>
      </c>
    </row>
    <row r="33" spans="1:14" ht="21">
      <c r="A33" s="127"/>
      <c r="B33" s="4"/>
      <c r="C33" s="10">
        <v>60</v>
      </c>
      <c r="D33" s="127" t="s">
        <v>31</v>
      </c>
      <c r="E33" s="11" t="s">
        <v>61</v>
      </c>
      <c r="F33" s="11">
        <v>2</v>
      </c>
      <c r="G33" s="33">
        <v>250</v>
      </c>
      <c r="H33" s="78">
        <f>C33*G33</f>
        <v>15000</v>
      </c>
      <c r="I33" s="88"/>
      <c r="J33" s="84" t="s">
        <v>270</v>
      </c>
      <c r="L33" s="187"/>
      <c r="M33" s="200">
        <f>H33</f>
        <v>15000</v>
      </c>
      <c r="N33" s="200"/>
    </row>
    <row r="34" spans="1:14" ht="21">
      <c r="A34" s="127"/>
      <c r="B34" s="4" t="s">
        <v>62</v>
      </c>
      <c r="C34" s="10">
        <v>48</v>
      </c>
      <c r="D34" s="127" t="s">
        <v>31</v>
      </c>
      <c r="E34" s="11" t="s">
        <v>59</v>
      </c>
      <c r="F34" s="11">
        <v>3</v>
      </c>
      <c r="G34" s="33">
        <f>62.8*0</f>
        <v>0</v>
      </c>
      <c r="H34" s="78">
        <f t="shared" si="0"/>
        <v>0</v>
      </c>
      <c r="I34" s="88"/>
      <c r="J34" s="84" t="s">
        <v>270</v>
      </c>
      <c r="L34" s="187"/>
      <c r="M34" s="187"/>
      <c r="N34" s="200">
        <f t="shared" si="1"/>
        <v>0</v>
      </c>
    </row>
    <row r="35" spans="1:14" ht="21">
      <c r="A35" s="127"/>
      <c r="B35" s="4"/>
      <c r="C35" s="10">
        <v>48</v>
      </c>
      <c r="D35" s="127" t="s">
        <v>31</v>
      </c>
      <c r="E35" s="11" t="s">
        <v>61</v>
      </c>
      <c r="F35" s="11">
        <v>2</v>
      </c>
      <c r="G35" s="33">
        <v>250</v>
      </c>
      <c r="H35" s="78">
        <f>C35*G35</f>
        <v>12000</v>
      </c>
      <c r="I35" s="88"/>
      <c r="J35" s="84" t="s">
        <v>270</v>
      </c>
      <c r="L35" s="188"/>
      <c r="M35" s="200">
        <f>H35</f>
        <v>12000</v>
      </c>
      <c r="N35" s="200"/>
    </row>
    <row r="36" spans="1:14" ht="21">
      <c r="A36" s="127"/>
      <c r="B36" s="4" t="s">
        <v>63</v>
      </c>
      <c r="C36" s="10">
        <v>30</v>
      </c>
      <c r="D36" s="127" t="s">
        <v>31</v>
      </c>
      <c r="E36" s="11" t="s">
        <v>59</v>
      </c>
      <c r="F36" s="11">
        <v>3</v>
      </c>
      <c r="G36" s="33">
        <f>62.8*0</f>
        <v>0</v>
      </c>
      <c r="H36" s="78">
        <f t="shared" si="0"/>
        <v>0</v>
      </c>
      <c r="I36" s="88"/>
      <c r="J36" s="84" t="s">
        <v>270</v>
      </c>
      <c r="L36" s="187"/>
      <c r="M36" s="187"/>
      <c r="N36" s="200">
        <f t="shared" si="1"/>
        <v>0</v>
      </c>
    </row>
    <row r="37" spans="1:14" ht="21">
      <c r="A37" s="127"/>
      <c r="B37" s="4"/>
      <c r="C37" s="10">
        <v>30</v>
      </c>
      <c r="D37" s="127" t="s">
        <v>31</v>
      </c>
      <c r="E37" s="11" t="s">
        <v>61</v>
      </c>
      <c r="F37" s="11">
        <v>2</v>
      </c>
      <c r="G37" s="33">
        <v>250</v>
      </c>
      <c r="H37" s="78">
        <f>C37*G37</f>
        <v>7500</v>
      </c>
      <c r="I37" s="88"/>
      <c r="J37" s="84" t="s">
        <v>270</v>
      </c>
      <c r="L37" s="187"/>
      <c r="M37" s="200">
        <f>H37</f>
        <v>7500</v>
      </c>
      <c r="N37" s="200"/>
    </row>
    <row r="38" spans="1:14" ht="21">
      <c r="A38" s="127"/>
      <c r="B38" s="4" t="s">
        <v>261</v>
      </c>
      <c r="C38" s="10">
        <v>154</v>
      </c>
      <c r="D38" s="127" t="s">
        <v>31</v>
      </c>
      <c r="E38" s="11" t="s">
        <v>59</v>
      </c>
      <c r="F38" s="11">
        <v>3</v>
      </c>
      <c r="G38" s="33">
        <f>62.8*0</f>
        <v>0</v>
      </c>
      <c r="H38" s="78">
        <f t="shared" si="0"/>
        <v>0</v>
      </c>
      <c r="I38" s="88"/>
      <c r="J38" s="84" t="s">
        <v>270</v>
      </c>
      <c r="L38" s="187"/>
      <c r="M38" s="188"/>
      <c r="N38" s="200">
        <f t="shared" si="1"/>
        <v>0</v>
      </c>
    </row>
    <row r="39" spans="1:14" ht="21">
      <c r="A39" s="127"/>
      <c r="B39" s="4"/>
      <c r="C39" s="10">
        <v>154</v>
      </c>
      <c r="D39" s="127" t="s">
        <v>31</v>
      </c>
      <c r="E39" s="11" t="s">
        <v>61</v>
      </c>
      <c r="F39" s="11">
        <v>2</v>
      </c>
      <c r="G39" s="33">
        <v>250</v>
      </c>
      <c r="H39" s="78">
        <f>C39*G39</f>
        <v>38500</v>
      </c>
      <c r="I39" s="88"/>
      <c r="J39" s="84" t="s">
        <v>270</v>
      </c>
      <c r="L39" s="187"/>
      <c r="M39" s="200">
        <f>H39</f>
        <v>38500</v>
      </c>
      <c r="N39" s="189"/>
    </row>
    <row r="40" spans="1:14" ht="21">
      <c r="A40" s="127"/>
      <c r="B40" s="131" t="s">
        <v>92</v>
      </c>
      <c r="C40" s="132">
        <v>74229</v>
      </c>
      <c r="D40" s="131" t="s">
        <v>14</v>
      </c>
      <c r="E40" s="133" t="s">
        <v>262</v>
      </c>
      <c r="F40" s="133">
        <v>2</v>
      </c>
      <c r="G40" s="134">
        <v>1.5</v>
      </c>
      <c r="H40" s="135">
        <f>C40*G40</f>
        <v>111343.5</v>
      </c>
      <c r="I40" s="88"/>
      <c r="J40" s="84" t="s">
        <v>270</v>
      </c>
      <c r="L40" s="187"/>
      <c r="M40" s="200">
        <f>H40</f>
        <v>111343.5</v>
      </c>
      <c r="N40" s="189"/>
    </row>
    <row r="41" spans="1:14" ht="21">
      <c r="A41" s="127"/>
      <c r="B41" s="127" t="s">
        <v>64</v>
      </c>
      <c r="C41" s="128">
        <v>74229</v>
      </c>
      <c r="D41" s="127" t="s">
        <v>14</v>
      </c>
      <c r="E41" s="126" t="s">
        <v>65</v>
      </c>
      <c r="F41" s="126">
        <v>2</v>
      </c>
      <c r="G41" s="33">
        <v>1.5</v>
      </c>
      <c r="H41" s="78">
        <f t="shared" si="0"/>
        <v>111343.5</v>
      </c>
      <c r="I41" s="88"/>
      <c r="J41" s="84" t="s">
        <v>270</v>
      </c>
      <c r="L41" s="187"/>
      <c r="M41" s="200">
        <f>H41</f>
        <v>111343.5</v>
      </c>
      <c r="N41" s="188"/>
    </row>
    <row r="42" spans="1:14" ht="30">
      <c r="A42" s="127"/>
      <c r="B42" s="4" t="s">
        <v>66</v>
      </c>
      <c r="C42" s="10">
        <v>74229</v>
      </c>
      <c r="D42" s="127" t="s">
        <v>14</v>
      </c>
      <c r="E42" s="11" t="s">
        <v>263</v>
      </c>
      <c r="F42" s="11">
        <v>2</v>
      </c>
      <c r="G42" s="33">
        <v>2</v>
      </c>
      <c r="H42" s="78">
        <f>G42*C42</f>
        <v>148458</v>
      </c>
      <c r="I42" s="88" t="s">
        <v>270</v>
      </c>
      <c r="J42" s="84"/>
      <c r="L42" s="200">
        <f>H42</f>
        <v>148458</v>
      </c>
      <c r="M42" s="187"/>
      <c r="N42" s="189"/>
    </row>
    <row r="43" spans="1:14" ht="21">
      <c r="A43" s="127"/>
      <c r="B43" s="127" t="s">
        <v>67</v>
      </c>
      <c r="C43" s="128">
        <v>74229</v>
      </c>
      <c r="D43" s="63" t="s">
        <v>14</v>
      </c>
      <c r="E43" s="126" t="s">
        <v>264</v>
      </c>
      <c r="F43" s="126">
        <v>2</v>
      </c>
      <c r="G43" s="33">
        <v>1</v>
      </c>
      <c r="H43" s="78">
        <f>G43*C43</f>
        <v>74229</v>
      </c>
      <c r="I43" s="88" t="s">
        <v>270</v>
      </c>
      <c r="J43" s="84"/>
      <c r="K43" s="48"/>
      <c r="L43" s="200">
        <f>H43</f>
        <v>74229</v>
      </c>
      <c r="M43" s="187"/>
      <c r="N43" s="189"/>
    </row>
    <row r="44" spans="1:14" ht="15.75" thickBot="1">
      <c r="A44" s="4"/>
      <c r="B44" s="4"/>
      <c r="C44" s="10"/>
      <c r="D44" s="4"/>
      <c r="E44" s="4"/>
      <c r="F44" s="4"/>
      <c r="G44" s="33"/>
      <c r="H44" s="66"/>
      <c r="I44" s="70"/>
      <c r="J44" s="71"/>
      <c r="L44" s="190"/>
      <c r="M44" s="190"/>
      <c r="N44" s="190"/>
    </row>
    <row r="45" spans="1:14" ht="15.75" thickBot="1">
      <c r="B45" s="115"/>
      <c r="C45" s="115"/>
      <c r="D45" s="115"/>
      <c r="E45" s="115"/>
      <c r="F45" s="115"/>
      <c r="G45" s="26" t="s">
        <v>68</v>
      </c>
      <c r="H45" s="79">
        <f>SUM(H11:H44)</f>
        <v>1249330</v>
      </c>
      <c r="I45" s="72"/>
      <c r="J45" s="73"/>
      <c r="L45" s="191">
        <f>SUM(L10:L44)</f>
        <v>222687</v>
      </c>
      <c r="M45" s="191">
        <f t="shared" ref="M45:N45" si="2">SUM(M10:M44)</f>
        <v>424567</v>
      </c>
      <c r="N45" s="191">
        <f t="shared" si="2"/>
        <v>602076</v>
      </c>
    </row>
    <row r="46" spans="1:14" ht="15.75" thickTop="1">
      <c r="B46" s="115"/>
      <c r="C46" s="115"/>
      <c r="D46" s="115"/>
      <c r="E46" s="115"/>
      <c r="F46" s="18" t="s">
        <v>38</v>
      </c>
      <c r="G46" s="37">
        <f>[1]Arch!G50</f>
        <v>0.1</v>
      </c>
      <c r="H46" s="13">
        <f>H45*G46</f>
        <v>124933</v>
      </c>
      <c r="L46" s="192">
        <f>L45*G46</f>
        <v>22268.7</v>
      </c>
      <c r="M46" s="192">
        <f>M45*G46</f>
        <v>42456.700000000004</v>
      </c>
      <c r="N46" s="192">
        <f>N45*G46</f>
        <v>60207.600000000006</v>
      </c>
    </row>
    <row r="47" spans="1:14">
      <c r="B47" s="115"/>
      <c r="C47" s="115"/>
      <c r="D47" s="115"/>
      <c r="E47" s="115"/>
      <c r="F47" s="18" t="s">
        <v>18</v>
      </c>
      <c r="G47" s="37">
        <f>[1]Arch!G51</f>
        <v>0.05</v>
      </c>
      <c r="H47" s="13">
        <f>H45*G47</f>
        <v>62466.5</v>
      </c>
      <c r="L47" s="189">
        <f>L45*G47</f>
        <v>11134.35</v>
      </c>
      <c r="M47" s="189">
        <f>M45*G47</f>
        <v>21228.350000000002</v>
      </c>
      <c r="N47" s="189">
        <f>N45*G47</f>
        <v>30103.800000000003</v>
      </c>
    </row>
    <row r="48" spans="1:14">
      <c r="B48" s="115"/>
      <c r="C48" s="115"/>
      <c r="D48" s="115"/>
      <c r="E48" s="115"/>
      <c r="F48" s="18" t="s">
        <v>19</v>
      </c>
      <c r="G48" s="19">
        <f>[1]Arch!G52</f>
        <v>7.0000000000000007E-2</v>
      </c>
      <c r="H48" s="13">
        <f>H45*G48</f>
        <v>87453.1</v>
      </c>
      <c r="L48" s="189">
        <f>L45*G48</f>
        <v>15588.090000000002</v>
      </c>
      <c r="M48" s="189">
        <f>M45*G48</f>
        <v>29719.690000000002</v>
      </c>
      <c r="N48" s="189">
        <f>N45*G48</f>
        <v>42145.320000000007</v>
      </c>
    </row>
    <row r="49" spans="2:14" ht="15.75" thickBot="1">
      <c r="B49" s="115"/>
      <c r="C49" s="115"/>
      <c r="D49" s="115"/>
      <c r="E49" s="115"/>
      <c r="F49" s="22" t="s">
        <v>20</v>
      </c>
      <c r="G49" s="19">
        <f>[1]Arch!G53</f>
        <v>0.03</v>
      </c>
      <c r="H49" s="13">
        <f>H45*G49</f>
        <v>37479.9</v>
      </c>
      <c r="L49" s="193">
        <f>L45*G49</f>
        <v>6680.61</v>
      </c>
      <c r="M49" s="193">
        <f>M45*G49</f>
        <v>12737.01</v>
      </c>
      <c r="N49" s="193">
        <f>N45*G49</f>
        <v>18062.28</v>
      </c>
    </row>
    <row r="50" spans="2:14" ht="15.75" thickBot="1">
      <c r="B50" s="115"/>
      <c r="C50" s="115"/>
      <c r="D50" s="115"/>
      <c r="E50" s="115"/>
      <c r="F50" s="115"/>
      <c r="G50" s="29" t="s">
        <v>21</v>
      </c>
      <c r="H50" s="17">
        <f>SUM(H45:H49)</f>
        <v>1561662.5</v>
      </c>
      <c r="L50" s="191">
        <f>SUM(L45:L49)</f>
        <v>278358.75</v>
      </c>
      <c r="M50" s="191">
        <f t="shared" ref="M50:N50" si="3">SUM(M45:M49)</f>
        <v>530708.75</v>
      </c>
      <c r="N50" s="191">
        <f t="shared" si="3"/>
        <v>752595</v>
      </c>
    </row>
    <row r="51" spans="2:14" ht="15.75" thickBot="1">
      <c r="B51" s="115"/>
      <c r="C51" s="115"/>
      <c r="D51" s="115"/>
      <c r="E51" s="115"/>
      <c r="F51" s="115"/>
      <c r="G51" s="19">
        <f>[1]Arch!G55</f>
        <v>0.18</v>
      </c>
      <c r="H51" s="13">
        <f>H50*G51</f>
        <v>281099.25</v>
      </c>
      <c r="L51" s="201">
        <f>L50*G51</f>
        <v>50104.574999999997</v>
      </c>
      <c r="M51" s="201">
        <f>M50*G51</f>
        <v>95527.574999999997</v>
      </c>
      <c r="N51" s="194">
        <f>N50*G51</f>
        <v>135467.1</v>
      </c>
    </row>
    <row r="52" spans="2:14" ht="15.75" thickBot="1">
      <c r="B52" s="115"/>
      <c r="C52" s="115"/>
      <c r="D52" s="115"/>
      <c r="E52" s="115"/>
      <c r="F52" s="115"/>
      <c r="G52" s="29" t="s">
        <v>23</v>
      </c>
      <c r="H52" s="17">
        <f>SUM(H50:H51)</f>
        <v>1842761.75</v>
      </c>
      <c r="L52" s="191">
        <f>SUM(L50:L51)</f>
        <v>328463.32500000001</v>
      </c>
      <c r="M52" s="191">
        <f t="shared" ref="M52:N52" si="4">SUM(M50:M51)</f>
        <v>626236.32499999995</v>
      </c>
      <c r="N52" s="191">
        <f t="shared" si="4"/>
        <v>888062.1</v>
      </c>
    </row>
  </sheetData>
  <mergeCells count="2">
    <mergeCell ref="G7:H7"/>
    <mergeCell ref="I7:J8"/>
  </mergeCells>
  <pageMargins left="0.7" right="0.7" top="0.75" bottom="0.75" header="0.3" footer="0.3"/>
  <pageSetup paperSize="3" scale="47" orientation="landscape" r:id="rId1"/>
  <headerFooter scaleWithDoc="0">
    <oddHeader>&amp;R&amp;G</oddHeader>
  </headerFooter>
  <rowBreaks count="1" manualBreakCount="1">
    <brk id="28" max="1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60" zoomScaleNormal="89" workbookViewId="0">
      <selection activeCell="L1" sqref="L1:N1048576"/>
    </sheetView>
  </sheetViews>
  <sheetFormatPr defaultRowHeight="15"/>
  <cols>
    <col min="1" max="1" width="2.42578125" customWidth="1"/>
    <col min="2" max="2" width="45.140625" customWidth="1"/>
    <col min="3" max="3" width="12.7109375" style="39" customWidth="1"/>
    <col min="4" max="4" width="4.7109375" style="39" customWidth="1"/>
    <col min="5" max="5" width="54.85546875" style="39" customWidth="1"/>
    <col min="6" max="6" width="15.140625" style="39" customWidth="1"/>
    <col min="7" max="7" width="14.140625" customWidth="1"/>
    <col min="8" max="8" width="15.140625" customWidth="1"/>
    <col min="9" max="10" width="0" hidden="1" customWidth="1"/>
    <col min="11" max="11" width="6.5703125" customWidth="1"/>
    <col min="12" max="14" width="14" style="184" customWidth="1"/>
  </cols>
  <sheetData>
    <row r="1" spans="1:14" ht="23.25">
      <c r="B1" s="1" t="s">
        <v>69</v>
      </c>
      <c r="C1" s="38"/>
      <c r="D1" s="38"/>
      <c r="E1" s="38"/>
      <c r="F1" s="38"/>
    </row>
    <row r="2" spans="1:14" ht="23.25">
      <c r="B2" s="1"/>
      <c r="C2" s="38"/>
      <c r="D2" s="38"/>
      <c r="E2" s="38"/>
      <c r="H2" s="2" t="s">
        <v>1</v>
      </c>
    </row>
    <row r="3" spans="1:14">
      <c r="A3" s="3" t="s">
        <v>2</v>
      </c>
      <c r="B3" s="4"/>
      <c r="C3" s="96" t="str">
        <f>Arch!C3</f>
        <v>Yellow Springs School</v>
      </c>
      <c r="D3" s="40"/>
      <c r="E3" s="40"/>
      <c r="F3" s="41"/>
      <c r="G3" s="177" t="s">
        <v>3</v>
      </c>
      <c r="H3" s="178"/>
      <c r="L3" s="184" t="s">
        <v>296</v>
      </c>
    </row>
    <row r="4" spans="1:14">
      <c r="A4" s="3" t="s">
        <v>4</v>
      </c>
      <c r="B4" s="4"/>
      <c r="C4" s="96" t="str">
        <f>Arch!C4</f>
        <v>Yellow Springs HS/MMS</v>
      </c>
      <c r="D4" s="40"/>
      <c r="E4" s="40"/>
      <c r="F4" s="41"/>
      <c r="G4" s="177" t="s">
        <v>5</v>
      </c>
      <c r="H4" s="178"/>
      <c r="L4" s="184" t="s">
        <v>297</v>
      </c>
    </row>
    <row r="5" spans="1:14">
      <c r="A5" s="3" t="s">
        <v>6</v>
      </c>
      <c r="B5" s="4"/>
      <c r="C5" s="96" t="str">
        <f>Arch!C5</f>
        <v>Yellow Springs HS/MMS</v>
      </c>
      <c r="D5" s="40"/>
      <c r="E5" s="40"/>
      <c r="F5" s="41"/>
      <c r="G5" s="177" t="s">
        <v>7</v>
      </c>
      <c r="H5" s="178"/>
      <c r="L5" s="184" t="s">
        <v>298</v>
      </c>
    </row>
    <row r="6" spans="1:14" ht="15.75" thickBot="1">
      <c r="A6" s="8" t="s">
        <v>25</v>
      </c>
      <c r="B6" s="4"/>
      <c r="C6" s="42">
        <f>Arch!C6</f>
        <v>74229</v>
      </c>
      <c r="D6" s="41" t="s">
        <v>14</v>
      </c>
      <c r="E6" s="41"/>
      <c r="F6" s="41"/>
      <c r="G6" s="175" t="s">
        <v>8</v>
      </c>
      <c r="H6" s="179"/>
      <c r="L6" s="184" t="s">
        <v>299</v>
      </c>
    </row>
    <row r="7" spans="1:14" ht="15.75" thickTop="1">
      <c r="A7" s="4"/>
      <c r="B7" s="4"/>
      <c r="C7" s="41"/>
      <c r="D7" s="41"/>
      <c r="E7" s="41"/>
      <c r="F7" s="41"/>
      <c r="G7" s="175" t="s">
        <v>95</v>
      </c>
      <c r="H7" s="176"/>
      <c r="I7" s="169" t="s">
        <v>100</v>
      </c>
      <c r="J7" s="170"/>
    </row>
    <row r="8" spans="1:14" ht="15.75" thickBot="1">
      <c r="A8" s="4"/>
      <c r="B8" s="4"/>
      <c r="C8" s="41"/>
      <c r="D8" s="41"/>
      <c r="E8" s="41"/>
      <c r="F8" s="41"/>
      <c r="G8" s="7"/>
      <c r="H8" s="66"/>
      <c r="I8" s="171"/>
      <c r="J8" s="172"/>
    </row>
    <row r="9" spans="1:14" ht="15.75" thickBot="1">
      <c r="A9" s="8" t="s">
        <v>70</v>
      </c>
      <c r="B9" s="4"/>
      <c r="C9" s="43" t="s">
        <v>9</v>
      </c>
      <c r="D9" s="43"/>
      <c r="E9" s="43" t="s">
        <v>10</v>
      </c>
      <c r="F9" s="43" t="s">
        <v>11</v>
      </c>
      <c r="G9" s="9" t="s">
        <v>12</v>
      </c>
      <c r="H9" s="67" t="s">
        <v>13</v>
      </c>
      <c r="I9" s="82" t="s">
        <v>101</v>
      </c>
      <c r="J9" s="83" t="s">
        <v>102</v>
      </c>
      <c r="L9" s="195" t="s">
        <v>293</v>
      </c>
      <c r="M9" s="202" t="s">
        <v>294</v>
      </c>
      <c r="N9" s="197" t="s">
        <v>295</v>
      </c>
    </row>
    <row r="10" spans="1:14">
      <c r="A10" s="4"/>
      <c r="B10" s="4"/>
      <c r="C10" s="41"/>
      <c r="D10" s="41"/>
      <c r="E10" s="44"/>
      <c r="F10" s="44"/>
      <c r="G10" s="4"/>
      <c r="H10" s="66"/>
      <c r="I10" s="70"/>
      <c r="J10" s="71"/>
      <c r="L10" s="198"/>
      <c r="M10" s="199"/>
      <c r="N10" s="198"/>
    </row>
    <row r="11" spans="1:14">
      <c r="A11" s="8" t="s">
        <v>70</v>
      </c>
      <c r="B11" s="4"/>
      <c r="C11" s="41"/>
      <c r="D11" s="41"/>
      <c r="E11" s="44"/>
      <c r="F11" s="44"/>
      <c r="G11" s="4"/>
      <c r="H11" s="66"/>
      <c r="I11" s="70"/>
      <c r="J11" s="71"/>
      <c r="L11" s="187"/>
      <c r="M11" s="188"/>
      <c r="N11" s="187"/>
    </row>
    <row r="12" spans="1:14" ht="90">
      <c r="A12" s="4"/>
      <c r="B12" s="45" t="s">
        <v>71</v>
      </c>
      <c r="C12" s="42">
        <f>C6</f>
        <v>74229</v>
      </c>
      <c r="D12" s="41" t="s">
        <v>14</v>
      </c>
      <c r="E12" s="44" t="s">
        <v>190</v>
      </c>
      <c r="F12" s="44">
        <v>1</v>
      </c>
      <c r="G12" s="12">
        <v>0.75</v>
      </c>
      <c r="H12" s="74">
        <f>C12*G12</f>
        <v>55671.75</v>
      </c>
      <c r="I12" s="87" t="s">
        <v>104</v>
      </c>
      <c r="J12" s="86"/>
      <c r="L12" s="188">
        <f>H12</f>
        <v>55671.75</v>
      </c>
      <c r="M12" s="189"/>
      <c r="N12" s="187"/>
    </row>
    <row r="13" spans="1:14" ht="60">
      <c r="A13" s="4"/>
      <c r="B13" s="45" t="s">
        <v>72</v>
      </c>
      <c r="C13" s="42">
        <f>C6</f>
        <v>74229</v>
      </c>
      <c r="D13" s="41" t="s">
        <v>14</v>
      </c>
      <c r="E13" s="44" t="s">
        <v>191</v>
      </c>
      <c r="F13" s="44">
        <v>1</v>
      </c>
      <c r="G13" s="12">
        <v>0.4</v>
      </c>
      <c r="H13" s="74">
        <f t="shared" ref="H13:H27" si="0">C13*G13</f>
        <v>29691.600000000002</v>
      </c>
      <c r="I13" s="87"/>
      <c r="J13" s="86" t="s">
        <v>104</v>
      </c>
      <c r="L13" s="188"/>
      <c r="M13" s="187"/>
      <c r="N13" s="200">
        <f>H13</f>
        <v>29691.600000000002</v>
      </c>
    </row>
    <row r="14" spans="1:14" ht="60">
      <c r="A14" s="4"/>
      <c r="B14" s="45" t="s">
        <v>73</v>
      </c>
      <c r="C14" s="41">
        <v>60</v>
      </c>
      <c r="D14" s="41" t="s">
        <v>31</v>
      </c>
      <c r="E14" s="44" t="s">
        <v>192</v>
      </c>
      <c r="F14" s="44">
        <v>2</v>
      </c>
      <c r="G14" s="12">
        <v>675</v>
      </c>
      <c r="H14" s="74">
        <f t="shared" si="0"/>
        <v>40500</v>
      </c>
      <c r="I14" s="87" t="s">
        <v>104</v>
      </c>
      <c r="J14" s="86"/>
      <c r="L14" s="200">
        <f>H14</f>
        <v>40500</v>
      </c>
      <c r="M14" s="188"/>
      <c r="N14" s="187"/>
    </row>
    <row r="15" spans="1:14" ht="120">
      <c r="A15" s="4"/>
      <c r="B15" s="45" t="s">
        <v>74</v>
      </c>
      <c r="C15" s="42">
        <f>C6</f>
        <v>74229</v>
      </c>
      <c r="D15" s="41" t="s">
        <v>14</v>
      </c>
      <c r="E15" s="44" t="s">
        <v>266</v>
      </c>
      <c r="F15" s="44">
        <v>3</v>
      </c>
      <c r="G15" s="12">
        <f>3*0.6</f>
        <v>1.7999999999999998</v>
      </c>
      <c r="H15" s="74">
        <f t="shared" si="0"/>
        <v>133612.19999999998</v>
      </c>
      <c r="I15" s="87"/>
      <c r="J15" s="86" t="s">
        <v>104</v>
      </c>
      <c r="L15" s="200"/>
      <c r="M15" s="200">
        <f>H15</f>
        <v>133612.19999999998</v>
      </c>
      <c r="N15" s="187"/>
    </row>
    <row r="16" spans="1:14" ht="90">
      <c r="A16" s="4"/>
      <c r="B16" s="45" t="s">
        <v>75</v>
      </c>
      <c r="C16" s="42">
        <v>1100</v>
      </c>
      <c r="D16" s="41" t="s">
        <v>15</v>
      </c>
      <c r="E16" s="44" t="s">
        <v>193</v>
      </c>
      <c r="F16" s="44">
        <v>1</v>
      </c>
      <c r="G16" s="12">
        <v>8</v>
      </c>
      <c r="H16" s="74">
        <f t="shared" si="0"/>
        <v>8800</v>
      </c>
      <c r="I16" s="87" t="s">
        <v>104</v>
      </c>
      <c r="J16" s="86"/>
      <c r="L16" s="200">
        <f>H16</f>
        <v>8800</v>
      </c>
      <c r="M16" s="187"/>
      <c r="N16" s="187"/>
    </row>
    <row r="17" spans="1:14" ht="90">
      <c r="A17" s="4"/>
      <c r="B17" s="45" t="s">
        <v>76</v>
      </c>
      <c r="C17" s="42">
        <f>C6</f>
        <v>74229</v>
      </c>
      <c r="D17" s="41" t="s">
        <v>14</v>
      </c>
      <c r="E17" s="44" t="s">
        <v>194</v>
      </c>
      <c r="F17" s="44">
        <v>2</v>
      </c>
      <c r="G17" s="12">
        <f>1</f>
        <v>1</v>
      </c>
      <c r="H17" s="74">
        <f t="shared" si="0"/>
        <v>74229</v>
      </c>
      <c r="I17" s="87"/>
      <c r="J17" s="86" t="s">
        <v>104</v>
      </c>
      <c r="L17" s="188"/>
      <c r="M17" s="200">
        <f>H17</f>
        <v>74229</v>
      </c>
      <c r="N17" s="187"/>
    </row>
    <row r="18" spans="1:14" ht="75">
      <c r="A18" s="4"/>
      <c r="B18" s="45" t="s">
        <v>77</v>
      </c>
      <c r="C18" s="41">
        <v>25</v>
      </c>
      <c r="D18" s="41" t="s">
        <v>31</v>
      </c>
      <c r="E18" s="44" t="s">
        <v>195</v>
      </c>
      <c r="F18" s="44">
        <v>2</v>
      </c>
      <c r="G18" s="12">
        <f>150*3.3</f>
        <v>495</v>
      </c>
      <c r="H18" s="74">
        <f t="shared" si="0"/>
        <v>12375</v>
      </c>
      <c r="I18" s="87" t="s">
        <v>104</v>
      </c>
      <c r="J18" s="86"/>
      <c r="L18" s="187"/>
      <c r="M18" s="200">
        <f>H18</f>
        <v>12375</v>
      </c>
      <c r="N18" s="188"/>
    </row>
    <row r="19" spans="1:14" ht="60">
      <c r="A19" s="4"/>
      <c r="B19" s="45" t="s">
        <v>78</v>
      </c>
      <c r="C19" s="41">
        <v>15</v>
      </c>
      <c r="D19" s="41" t="s">
        <v>31</v>
      </c>
      <c r="E19" s="44" t="s">
        <v>196</v>
      </c>
      <c r="F19" s="44">
        <v>2</v>
      </c>
      <c r="G19" s="12">
        <v>2750</v>
      </c>
      <c r="H19" s="74">
        <f t="shared" si="0"/>
        <v>41250</v>
      </c>
      <c r="I19" s="87" t="s">
        <v>104</v>
      </c>
      <c r="J19" s="86"/>
      <c r="L19" s="187"/>
      <c r="M19" s="200">
        <f>H19</f>
        <v>41250</v>
      </c>
      <c r="N19" s="188"/>
    </row>
    <row r="20" spans="1:14" ht="75">
      <c r="A20" s="4"/>
      <c r="B20" s="45" t="s">
        <v>79</v>
      </c>
      <c r="C20" s="41">
        <v>25</v>
      </c>
      <c r="D20" s="41" t="s">
        <v>31</v>
      </c>
      <c r="E20" s="44" t="s">
        <v>197</v>
      </c>
      <c r="F20" s="44">
        <v>1</v>
      </c>
      <c r="G20" s="12">
        <v>1200</v>
      </c>
      <c r="H20" s="74">
        <f t="shared" si="0"/>
        <v>30000</v>
      </c>
      <c r="I20" s="87"/>
      <c r="J20" s="86" t="s">
        <v>104</v>
      </c>
      <c r="L20" s="187"/>
      <c r="M20" s="187"/>
      <c r="N20" s="188">
        <f>H20</f>
        <v>30000</v>
      </c>
    </row>
    <row r="21" spans="1:14" ht="75">
      <c r="A21" s="4"/>
      <c r="B21" s="45" t="s">
        <v>80</v>
      </c>
      <c r="C21" s="42">
        <f>C6</f>
        <v>74229</v>
      </c>
      <c r="D21" s="41" t="s">
        <v>14</v>
      </c>
      <c r="E21" s="44" t="s">
        <v>198</v>
      </c>
      <c r="F21" s="44">
        <v>2</v>
      </c>
      <c r="G21" s="12">
        <v>1.1000000000000001</v>
      </c>
      <c r="H21" s="74">
        <f t="shared" si="0"/>
        <v>81651.900000000009</v>
      </c>
      <c r="I21" s="87" t="s">
        <v>104</v>
      </c>
      <c r="J21" s="86"/>
      <c r="L21" s="188">
        <f>H21</f>
        <v>81651.900000000009</v>
      </c>
      <c r="M21" s="187"/>
      <c r="N21" s="187"/>
    </row>
    <row r="22" spans="1:14" ht="45">
      <c r="A22" s="4"/>
      <c r="B22" s="45" t="s">
        <v>81</v>
      </c>
      <c r="C22" s="42">
        <f>C6</f>
        <v>74229</v>
      </c>
      <c r="D22" s="41" t="s">
        <v>14</v>
      </c>
      <c r="E22" s="44" t="s">
        <v>199</v>
      </c>
      <c r="F22" s="44">
        <v>4</v>
      </c>
      <c r="G22" s="12">
        <v>1.25</v>
      </c>
      <c r="H22" s="74">
        <f>C22*G22*0</f>
        <v>0</v>
      </c>
      <c r="I22" s="87"/>
      <c r="J22" s="86" t="s">
        <v>104</v>
      </c>
      <c r="L22" s="188"/>
      <c r="M22" s="187"/>
      <c r="N22" s="200">
        <f>H22</f>
        <v>0</v>
      </c>
    </row>
    <row r="23" spans="1:14" ht="31.5">
      <c r="A23" s="4"/>
      <c r="B23" s="46"/>
      <c r="C23" s="41"/>
      <c r="D23" s="41"/>
      <c r="E23" s="44"/>
      <c r="F23" s="44"/>
      <c r="G23" s="12"/>
      <c r="H23" s="74"/>
      <c r="I23" s="87"/>
      <c r="J23" s="86"/>
      <c r="L23" s="187"/>
      <c r="M23" s="188"/>
      <c r="N23" s="187"/>
    </row>
    <row r="24" spans="1:14" ht="31.5">
      <c r="A24" s="8" t="s">
        <v>82</v>
      </c>
      <c r="B24" s="4"/>
      <c r="C24" s="41"/>
      <c r="D24" s="41"/>
      <c r="E24" s="44"/>
      <c r="F24" s="44"/>
      <c r="G24" s="12"/>
      <c r="H24" s="74"/>
      <c r="I24" s="87"/>
      <c r="J24" s="86"/>
      <c r="L24" s="187"/>
      <c r="M24" s="188"/>
      <c r="N24" s="187"/>
    </row>
    <row r="25" spans="1:14" ht="45">
      <c r="A25" s="4"/>
      <c r="B25" s="4" t="s">
        <v>83</v>
      </c>
      <c r="C25" s="41">
        <v>7</v>
      </c>
      <c r="D25" s="41" t="s">
        <v>31</v>
      </c>
      <c r="E25" s="44" t="s">
        <v>84</v>
      </c>
      <c r="F25" s="44">
        <v>1</v>
      </c>
      <c r="G25" s="12">
        <f>2400*2.5</f>
        <v>6000</v>
      </c>
      <c r="H25" s="74">
        <f t="shared" si="0"/>
        <v>42000</v>
      </c>
      <c r="I25" s="87" t="s">
        <v>104</v>
      </c>
      <c r="J25" s="86"/>
      <c r="L25" s="200">
        <f>H25</f>
        <v>42000</v>
      </c>
      <c r="M25" s="188"/>
      <c r="N25" s="187"/>
    </row>
    <row r="26" spans="1:14" ht="31.5">
      <c r="A26" s="4"/>
      <c r="B26" s="4" t="s">
        <v>85</v>
      </c>
      <c r="C26" s="41">
        <v>0</v>
      </c>
      <c r="D26" s="41" t="s">
        <v>31</v>
      </c>
      <c r="E26" s="44" t="s">
        <v>200</v>
      </c>
      <c r="F26" s="44">
        <v>4</v>
      </c>
      <c r="G26" s="12">
        <v>1300</v>
      </c>
      <c r="H26" s="74">
        <f t="shared" si="0"/>
        <v>0</v>
      </c>
      <c r="I26" s="87"/>
      <c r="J26" s="86" t="s">
        <v>104</v>
      </c>
      <c r="L26" s="187"/>
      <c r="M26" s="188"/>
      <c r="N26" s="200">
        <f>H26</f>
        <v>0</v>
      </c>
    </row>
    <row r="27" spans="1:14" ht="75">
      <c r="A27" s="4"/>
      <c r="B27" s="4" t="s">
        <v>86</v>
      </c>
      <c r="C27" s="42">
        <f>C12</f>
        <v>74229</v>
      </c>
      <c r="D27" s="42" t="s">
        <v>14</v>
      </c>
      <c r="E27" s="44" t="s">
        <v>201</v>
      </c>
      <c r="F27" s="44">
        <v>2</v>
      </c>
      <c r="G27" s="12">
        <f>1.15*0.6</f>
        <v>0.69</v>
      </c>
      <c r="H27" s="74">
        <f t="shared" si="0"/>
        <v>51218.009999999995</v>
      </c>
      <c r="I27" s="87" t="s">
        <v>104</v>
      </c>
      <c r="J27" s="86"/>
      <c r="L27" s="200">
        <f>H27</f>
        <v>51218.009999999995</v>
      </c>
      <c r="M27" s="188"/>
      <c r="N27" s="189"/>
    </row>
    <row r="28" spans="1:14" ht="15.75" thickBot="1">
      <c r="A28" s="4"/>
      <c r="B28" s="4"/>
      <c r="C28" s="41"/>
      <c r="D28" s="41"/>
      <c r="E28" s="44"/>
      <c r="F28" s="44"/>
      <c r="G28" s="4"/>
      <c r="H28" s="74"/>
      <c r="I28" s="70"/>
      <c r="J28" s="71"/>
      <c r="L28" s="190"/>
      <c r="M28" s="190"/>
      <c r="N28" s="190"/>
    </row>
    <row r="29" spans="1:14" ht="15.75" thickBot="1">
      <c r="G29" s="29" t="s">
        <v>37</v>
      </c>
      <c r="H29" s="79">
        <f>SUM(H12:H28)</f>
        <v>600999.46</v>
      </c>
      <c r="I29" s="72"/>
      <c r="J29" s="73"/>
      <c r="L29" s="191">
        <f>SUM(L10:L28)</f>
        <v>279841.66000000003</v>
      </c>
      <c r="M29" s="191">
        <f t="shared" ref="M29:N29" si="1">SUM(M10:M28)</f>
        <v>261466.19999999998</v>
      </c>
      <c r="N29" s="191">
        <f t="shared" si="1"/>
        <v>59691.600000000006</v>
      </c>
    </row>
    <row r="30" spans="1:14" ht="15.75" thickTop="1">
      <c r="F30" s="18" t="s">
        <v>38</v>
      </c>
      <c r="G30" s="19">
        <f>Arch!G48</f>
        <v>0.1</v>
      </c>
      <c r="H30" s="13">
        <f>H29*G30</f>
        <v>60099.945999999996</v>
      </c>
      <c r="L30" s="192">
        <f>L29*G30</f>
        <v>27984.166000000005</v>
      </c>
      <c r="M30" s="192">
        <f>M29*G30</f>
        <v>26146.62</v>
      </c>
      <c r="N30" s="192">
        <f>N29*G30</f>
        <v>5969.1600000000008</v>
      </c>
    </row>
    <row r="31" spans="1:14">
      <c r="F31" s="18" t="s">
        <v>18</v>
      </c>
      <c r="G31" s="19">
        <f>Arch!G49</f>
        <v>0.05</v>
      </c>
      <c r="H31" s="13">
        <f>H29*G31</f>
        <v>30049.972999999998</v>
      </c>
      <c r="L31" s="189">
        <f>L29*G31</f>
        <v>13992.083000000002</v>
      </c>
      <c r="M31" s="189">
        <f>M29*G31</f>
        <v>13073.31</v>
      </c>
      <c r="N31" s="189">
        <f>N29*G31</f>
        <v>2984.5800000000004</v>
      </c>
    </row>
    <row r="32" spans="1:14">
      <c r="F32" s="18" t="s">
        <v>19</v>
      </c>
      <c r="G32" s="19">
        <f>Arch!G50</f>
        <v>7.0000000000000007E-2</v>
      </c>
      <c r="H32" s="13">
        <f>H29*G32</f>
        <v>42069.962200000002</v>
      </c>
      <c r="L32" s="189">
        <f>L29*G32</f>
        <v>19588.916200000003</v>
      </c>
      <c r="M32" s="189">
        <f>M29*G32</f>
        <v>18302.634000000002</v>
      </c>
      <c r="N32" s="189">
        <f>N29*G32</f>
        <v>4178.4120000000012</v>
      </c>
    </row>
    <row r="33" spans="3:14" ht="15.75" thickBot="1">
      <c r="F33" s="39" t="s">
        <v>20</v>
      </c>
      <c r="G33" s="37">
        <f>Arch!G51</f>
        <v>0.03</v>
      </c>
      <c r="H33" s="47">
        <f>H29*G33</f>
        <v>18029.983799999998</v>
      </c>
      <c r="L33" s="193">
        <f>L29*G33</f>
        <v>8395.2498000000014</v>
      </c>
      <c r="M33" s="193">
        <f>M29*G33</f>
        <v>7843.985999999999</v>
      </c>
      <c r="N33" s="193">
        <f>N29*G33</f>
        <v>1790.748</v>
      </c>
    </row>
    <row r="34" spans="3:14" ht="15.75" thickBot="1">
      <c r="C34"/>
      <c r="D34"/>
      <c r="E34"/>
      <c r="G34" s="29" t="s">
        <v>87</v>
      </c>
      <c r="H34" s="17">
        <f>SUM(H29:H33)</f>
        <v>751249.32499999995</v>
      </c>
      <c r="L34" s="191">
        <f>SUM(L29:L33)</f>
        <v>349802.07500000001</v>
      </c>
      <c r="M34" s="191">
        <f t="shared" ref="M34:N34" si="2">SUM(M29:M33)</f>
        <v>326832.75</v>
      </c>
      <c r="N34" s="191">
        <f t="shared" si="2"/>
        <v>74614.500000000015</v>
      </c>
    </row>
    <row r="35" spans="3:14" ht="15.75" thickBot="1">
      <c r="C35"/>
      <c r="D35"/>
      <c r="E35"/>
      <c r="F35" s="39" t="s">
        <v>22</v>
      </c>
      <c r="G35" s="37">
        <f>Arch!G53</f>
        <v>0.18</v>
      </c>
      <c r="H35" s="13">
        <f>H34*G35</f>
        <v>135224.87849999999</v>
      </c>
      <c r="L35" s="194">
        <f>L34*G35</f>
        <v>62964.373500000002</v>
      </c>
      <c r="M35" s="194">
        <f>M34*G35</f>
        <v>58829.894999999997</v>
      </c>
      <c r="N35" s="194">
        <f>N34*G35</f>
        <v>13430.610000000002</v>
      </c>
    </row>
    <row r="36" spans="3:14" ht="15.75" thickBot="1">
      <c r="C36"/>
      <c r="D36"/>
      <c r="E36"/>
      <c r="G36" s="29" t="s">
        <v>23</v>
      </c>
      <c r="H36" s="17">
        <f>SUM(H34:H35)</f>
        <v>886474.20349999995</v>
      </c>
      <c r="L36" s="191">
        <f>SUM(L34:L35)</f>
        <v>412766.4485</v>
      </c>
      <c r="M36" s="191">
        <f t="shared" ref="M36:N36" si="3">SUM(M34:M35)</f>
        <v>385662.64500000002</v>
      </c>
      <c r="N36" s="191">
        <f t="shared" si="3"/>
        <v>88045.110000000015</v>
      </c>
    </row>
  </sheetData>
  <mergeCells count="6">
    <mergeCell ref="I7:J8"/>
    <mergeCell ref="G3:H3"/>
    <mergeCell ref="G4:H4"/>
    <mergeCell ref="G5:H5"/>
    <mergeCell ref="G6:H6"/>
    <mergeCell ref="G7:H7"/>
  </mergeCells>
  <pageMargins left="0.7" right="0.7" top="0.75" bottom="0.75" header="0.3" footer="0.3"/>
  <pageSetup paperSize="3" scale="37" orientation="landscape" r:id="rId1"/>
  <headerFooter scaleWithDoc="0">
    <oddHeader>&amp;R&amp;G</oddHeader>
  </headerFooter>
  <rowBreaks count="1" manualBreakCount="1">
    <brk id="19"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tabSelected="1" view="pageBreakPreview" zoomScale="60" zoomScaleNormal="89" workbookViewId="0">
      <selection activeCell="M12" sqref="M12"/>
    </sheetView>
  </sheetViews>
  <sheetFormatPr defaultRowHeight="15"/>
  <cols>
    <col min="1" max="1" width="2.42578125" customWidth="1"/>
    <col min="2" max="2" width="55.5703125" customWidth="1"/>
    <col min="3" max="3" width="12.7109375" style="39" customWidth="1"/>
    <col min="4" max="4" width="4.7109375" style="39" customWidth="1"/>
    <col min="5" max="5" width="54.85546875" style="39" customWidth="1"/>
    <col min="6" max="6" width="13.85546875" style="39" customWidth="1"/>
    <col min="7" max="7" width="14.140625" customWidth="1"/>
    <col min="8" max="8" width="15.140625" customWidth="1"/>
    <col min="9" max="10" width="0" hidden="1" customWidth="1"/>
    <col min="11" max="11" width="5.140625" customWidth="1"/>
    <col min="12" max="14" width="15.28515625" style="184" customWidth="1"/>
  </cols>
  <sheetData>
    <row r="1" spans="1:14" ht="23.25">
      <c r="B1" s="1" t="s">
        <v>109</v>
      </c>
      <c r="C1" s="38"/>
      <c r="D1" s="38"/>
      <c r="E1" s="38"/>
      <c r="F1" s="38"/>
    </row>
    <row r="2" spans="1:14" ht="23.25">
      <c r="B2" s="1"/>
      <c r="C2" s="38"/>
      <c r="D2" s="38"/>
      <c r="E2" s="38"/>
      <c r="H2" s="2" t="s">
        <v>1</v>
      </c>
    </row>
    <row r="3" spans="1:14">
      <c r="A3" s="3" t="s">
        <v>2</v>
      </c>
      <c r="B3" s="4"/>
      <c r="C3" s="96" t="str">
        <f>Arch!C3</f>
        <v>Yellow Springs School</v>
      </c>
      <c r="D3" s="40"/>
      <c r="E3" s="40"/>
      <c r="F3" s="41"/>
      <c r="G3" s="177" t="s">
        <v>3</v>
      </c>
      <c r="H3" s="178"/>
      <c r="L3" s="184" t="s">
        <v>296</v>
      </c>
    </row>
    <row r="4" spans="1:14">
      <c r="A4" s="3" t="s">
        <v>4</v>
      </c>
      <c r="B4" s="4"/>
      <c r="C4" s="96" t="str">
        <f>Arch!C4</f>
        <v>Yellow Springs HS/MMS</v>
      </c>
      <c r="D4" s="40"/>
      <c r="E4" s="40"/>
      <c r="F4" s="41"/>
      <c r="G4" s="177" t="s">
        <v>5</v>
      </c>
      <c r="H4" s="178"/>
      <c r="L4" s="184" t="s">
        <v>297</v>
      </c>
    </row>
    <row r="5" spans="1:14">
      <c r="A5" s="3" t="s">
        <v>6</v>
      </c>
      <c r="B5" s="4"/>
      <c r="C5" s="96" t="str">
        <f>Arch!C5</f>
        <v>Yellow Springs HS/MMS</v>
      </c>
      <c r="D5" s="40"/>
      <c r="E5" s="40"/>
      <c r="F5" s="41"/>
      <c r="G5" s="177" t="s">
        <v>7</v>
      </c>
      <c r="H5" s="178"/>
      <c r="L5" s="184" t="s">
        <v>298</v>
      </c>
    </row>
    <row r="6" spans="1:14" ht="15.75" thickBot="1">
      <c r="A6" s="8" t="s">
        <v>138</v>
      </c>
      <c r="B6" s="4"/>
      <c r="C6" s="111">
        <v>34.97</v>
      </c>
      <c r="D6" s="41" t="s">
        <v>139</v>
      </c>
      <c r="E6" s="41"/>
      <c r="F6" s="41"/>
      <c r="G6" s="175" t="s">
        <v>8</v>
      </c>
      <c r="H6" s="179"/>
      <c r="L6" s="184" t="s">
        <v>299</v>
      </c>
    </row>
    <row r="7" spans="1:14" ht="15.75" thickTop="1">
      <c r="A7" s="4"/>
      <c r="B7" s="4"/>
      <c r="C7" s="41"/>
      <c r="D7" s="41"/>
      <c r="E7" s="41"/>
      <c r="F7" s="41"/>
      <c r="G7" s="175" t="s">
        <v>95</v>
      </c>
      <c r="H7" s="176"/>
      <c r="I7" s="169" t="s">
        <v>100</v>
      </c>
      <c r="J7" s="170"/>
    </row>
    <row r="8" spans="1:14" ht="15.75" thickBot="1">
      <c r="A8" s="4"/>
      <c r="B8" s="4"/>
      <c r="C8" s="41"/>
      <c r="D8" s="41"/>
      <c r="E8" s="41"/>
      <c r="F8" s="41"/>
      <c r="G8" s="7"/>
      <c r="H8" s="66"/>
      <c r="I8" s="171"/>
      <c r="J8" s="172"/>
    </row>
    <row r="9" spans="1:14" ht="15.75" thickBot="1">
      <c r="A9" s="8" t="s">
        <v>130</v>
      </c>
      <c r="B9" s="4"/>
      <c r="C9" s="9" t="s">
        <v>9</v>
      </c>
      <c r="D9" s="9"/>
      <c r="E9" s="9" t="s">
        <v>10</v>
      </c>
      <c r="F9" s="9" t="s">
        <v>11</v>
      </c>
      <c r="G9" s="9" t="s">
        <v>12</v>
      </c>
      <c r="H9" s="67" t="s">
        <v>13</v>
      </c>
      <c r="I9" s="68" t="s">
        <v>101</v>
      </c>
      <c r="J9" s="69" t="s">
        <v>102</v>
      </c>
      <c r="L9" s="195" t="s">
        <v>293</v>
      </c>
      <c r="M9" s="196" t="s">
        <v>294</v>
      </c>
      <c r="N9" s="197" t="s">
        <v>295</v>
      </c>
    </row>
    <row r="10" spans="1:14" ht="60">
      <c r="A10" s="8"/>
      <c r="B10" s="4" t="s">
        <v>131</v>
      </c>
      <c r="C10" s="106">
        <v>6</v>
      </c>
      <c r="D10" s="107" t="s">
        <v>31</v>
      </c>
      <c r="E10" s="108" t="s">
        <v>142</v>
      </c>
      <c r="F10" s="9">
        <v>5</v>
      </c>
      <c r="G10" s="12">
        <v>4000</v>
      </c>
      <c r="H10" s="109">
        <f>C10*G10</f>
        <v>24000</v>
      </c>
      <c r="I10" s="88" t="s">
        <v>104</v>
      </c>
      <c r="J10" s="69"/>
      <c r="L10" s="203">
        <f>H10</f>
        <v>24000</v>
      </c>
      <c r="M10" s="199"/>
      <c r="N10" s="198"/>
    </row>
    <row r="11" spans="1:14" ht="45">
      <c r="A11" s="8"/>
      <c r="B11" s="4" t="s">
        <v>149</v>
      </c>
      <c r="C11" s="110">
        <v>2000</v>
      </c>
      <c r="D11" s="107" t="s">
        <v>14</v>
      </c>
      <c r="E11" s="108" t="s">
        <v>158</v>
      </c>
      <c r="F11" s="9">
        <v>5</v>
      </c>
      <c r="G11" s="12">
        <f>65/9</f>
        <v>7.2222222222222223</v>
      </c>
      <c r="H11" s="109">
        <f>C11*G11</f>
        <v>14444.444444444445</v>
      </c>
      <c r="I11" s="88" t="s">
        <v>104</v>
      </c>
      <c r="J11" s="69"/>
      <c r="L11" s="200">
        <f>H11</f>
        <v>14444.444444444445</v>
      </c>
      <c r="M11" s="188"/>
      <c r="N11" s="187"/>
    </row>
    <row r="12" spans="1:14" ht="21">
      <c r="A12" s="8"/>
      <c r="B12" s="4" t="s">
        <v>170</v>
      </c>
      <c r="C12" s="10">
        <v>63623</v>
      </c>
      <c r="D12" s="4" t="s">
        <v>14</v>
      </c>
      <c r="E12" s="14" t="s">
        <v>300</v>
      </c>
      <c r="F12" s="9">
        <v>3</v>
      </c>
      <c r="G12" s="12">
        <v>0.5</v>
      </c>
      <c r="H12" s="109">
        <f t="shared" ref="H12:H13" si="0">C12*G12</f>
        <v>31811.5</v>
      </c>
      <c r="I12" s="88"/>
      <c r="J12" s="121" t="s">
        <v>104</v>
      </c>
      <c r="L12" s="188"/>
      <c r="M12" s="189"/>
      <c r="N12" s="200">
        <f>H12</f>
        <v>31811.5</v>
      </c>
    </row>
    <row r="13" spans="1:14" s="115" customFormat="1" ht="21">
      <c r="A13" s="8"/>
      <c r="B13" s="4" t="s">
        <v>143</v>
      </c>
      <c r="C13" s="10">
        <v>30260</v>
      </c>
      <c r="D13" s="4" t="s">
        <v>14</v>
      </c>
      <c r="E13" s="14" t="s">
        <v>144</v>
      </c>
      <c r="F13" s="112">
        <v>2</v>
      </c>
      <c r="G13" s="12">
        <v>7.22</v>
      </c>
      <c r="H13" s="109">
        <f t="shared" si="0"/>
        <v>218477.19999999998</v>
      </c>
      <c r="I13" s="88" t="s">
        <v>104</v>
      </c>
      <c r="J13" s="69"/>
      <c r="L13" s="188"/>
      <c r="M13" s="200">
        <f>H13</f>
        <v>218477.19999999998</v>
      </c>
      <c r="N13" s="187"/>
    </row>
    <row r="14" spans="1:14" ht="21">
      <c r="A14" s="4"/>
      <c r="B14" s="4" t="s">
        <v>171</v>
      </c>
      <c r="C14" s="10">
        <f>20*15</f>
        <v>300</v>
      </c>
      <c r="D14" s="4" t="s">
        <v>14</v>
      </c>
      <c r="E14" s="14" t="s">
        <v>174</v>
      </c>
      <c r="F14" s="112">
        <v>2</v>
      </c>
      <c r="G14" s="12">
        <v>8</v>
      </c>
      <c r="H14" s="109">
        <f t="shared" ref="H14:H22" si="1">C14*G14</f>
        <v>2400</v>
      </c>
      <c r="I14" s="88" t="s">
        <v>104</v>
      </c>
      <c r="J14" s="84"/>
      <c r="L14" s="189"/>
      <c r="M14" s="188">
        <f>H14</f>
        <v>2400</v>
      </c>
      <c r="N14" s="187"/>
    </row>
    <row r="15" spans="1:14" ht="21">
      <c r="A15" s="173" t="s">
        <v>132</v>
      </c>
      <c r="B15" s="174"/>
      <c r="C15" s="10"/>
      <c r="D15" s="4"/>
      <c r="E15" s="11"/>
      <c r="F15" s="11"/>
      <c r="G15" s="12"/>
      <c r="H15" s="109"/>
      <c r="I15" s="88"/>
      <c r="J15" s="84"/>
      <c r="L15" s="187"/>
      <c r="M15" s="189"/>
      <c r="N15" s="187"/>
    </row>
    <row r="16" spans="1:14" ht="30">
      <c r="A16" s="4"/>
      <c r="B16" s="11" t="s">
        <v>145</v>
      </c>
      <c r="C16" s="10">
        <v>5300</v>
      </c>
      <c r="D16" s="4" t="s">
        <v>14</v>
      </c>
      <c r="E16" s="11" t="s">
        <v>133</v>
      </c>
      <c r="F16" s="9">
        <v>1</v>
      </c>
      <c r="G16" s="12">
        <v>6</v>
      </c>
      <c r="H16" s="109">
        <f>C16*G16</f>
        <v>31800</v>
      </c>
      <c r="I16" s="88" t="s">
        <v>104</v>
      </c>
      <c r="J16" s="84"/>
      <c r="L16" s="187"/>
      <c r="M16" s="200">
        <f>H16</f>
        <v>31800</v>
      </c>
      <c r="N16" s="187"/>
    </row>
    <row r="17" spans="1:14" ht="45">
      <c r="A17" s="4"/>
      <c r="B17" s="11" t="s">
        <v>150</v>
      </c>
      <c r="C17" s="10">
        <v>400</v>
      </c>
      <c r="D17" s="4" t="s">
        <v>15</v>
      </c>
      <c r="E17" s="11" t="s">
        <v>146</v>
      </c>
      <c r="F17" s="9">
        <v>5</v>
      </c>
      <c r="G17" s="12">
        <v>20</v>
      </c>
      <c r="H17" s="109">
        <f>C17*G17</f>
        <v>8000</v>
      </c>
      <c r="I17" s="88" t="s">
        <v>104</v>
      </c>
      <c r="J17" s="84"/>
      <c r="L17" s="188">
        <f>H17</f>
        <v>8000</v>
      </c>
      <c r="M17" s="187"/>
      <c r="N17" s="187"/>
    </row>
    <row r="18" spans="1:14" s="115" customFormat="1" ht="30">
      <c r="A18" s="4"/>
      <c r="B18" s="4" t="s">
        <v>147</v>
      </c>
      <c r="C18" s="10">
        <v>1765</v>
      </c>
      <c r="D18" s="4" t="s">
        <v>14</v>
      </c>
      <c r="E18" s="11" t="s">
        <v>148</v>
      </c>
      <c r="F18" s="9">
        <v>5</v>
      </c>
      <c r="G18" s="12">
        <v>6</v>
      </c>
      <c r="H18" s="109">
        <f>C18*G18</f>
        <v>10590</v>
      </c>
      <c r="I18" s="88" t="s">
        <v>104</v>
      </c>
      <c r="J18" s="84"/>
      <c r="L18" s="200">
        <f>H18</f>
        <v>10590</v>
      </c>
      <c r="M18" s="200"/>
      <c r="N18" s="188"/>
    </row>
    <row r="19" spans="1:14" ht="30">
      <c r="A19" s="4"/>
      <c r="B19" s="11" t="s">
        <v>265</v>
      </c>
      <c r="C19" s="10">
        <f>124*41</f>
        <v>5084</v>
      </c>
      <c r="D19" s="4" t="s">
        <v>14</v>
      </c>
      <c r="E19" s="11" t="s">
        <v>301</v>
      </c>
      <c r="F19" s="9">
        <v>1</v>
      </c>
      <c r="G19" s="12">
        <v>12</v>
      </c>
      <c r="H19" s="109">
        <f>C19*G19</f>
        <v>61008</v>
      </c>
      <c r="I19" s="88" t="s">
        <v>104</v>
      </c>
      <c r="J19" s="84"/>
      <c r="L19" s="200">
        <f>H19</f>
        <v>61008</v>
      </c>
      <c r="M19" s="187"/>
      <c r="N19" s="188"/>
    </row>
    <row r="20" spans="1:14" ht="21">
      <c r="A20" s="8" t="s">
        <v>134</v>
      </c>
      <c r="B20" s="4"/>
      <c r="C20" s="10"/>
      <c r="D20" s="4"/>
      <c r="E20" s="11"/>
      <c r="F20" s="11"/>
      <c r="G20" s="12"/>
      <c r="H20" s="109"/>
      <c r="I20" s="88"/>
      <c r="J20" s="84"/>
      <c r="L20" s="187"/>
      <c r="M20" s="187"/>
      <c r="N20" s="188"/>
    </row>
    <row r="21" spans="1:14" s="115" customFormat="1" ht="21">
      <c r="A21" s="8"/>
      <c r="B21" s="4" t="s">
        <v>172</v>
      </c>
      <c r="C21" s="10">
        <v>35</v>
      </c>
      <c r="D21" s="4" t="s">
        <v>15</v>
      </c>
      <c r="E21" s="11" t="s">
        <v>173</v>
      </c>
      <c r="F21" s="112">
        <v>2</v>
      </c>
      <c r="G21" s="12">
        <v>60</v>
      </c>
      <c r="H21" s="109">
        <f>C21*G21</f>
        <v>2100</v>
      </c>
      <c r="I21" s="88" t="s">
        <v>104</v>
      </c>
      <c r="J21" s="84"/>
      <c r="L21" s="188">
        <f>H21</f>
        <v>2100</v>
      </c>
      <c r="M21" s="187"/>
      <c r="N21" s="187"/>
    </row>
    <row r="22" spans="1:14" ht="30">
      <c r="A22" s="4"/>
      <c r="B22" s="11" t="s">
        <v>140</v>
      </c>
      <c r="C22" s="10">
        <v>370</v>
      </c>
      <c r="D22" s="4" t="s">
        <v>15</v>
      </c>
      <c r="E22" s="11" t="s">
        <v>141</v>
      </c>
      <c r="F22" s="9">
        <v>2</v>
      </c>
      <c r="G22" s="12">
        <v>85</v>
      </c>
      <c r="H22" s="109">
        <f t="shared" si="1"/>
        <v>31450</v>
      </c>
      <c r="I22" s="88" t="s">
        <v>104</v>
      </c>
      <c r="J22" s="84"/>
      <c r="L22" s="188"/>
      <c r="M22" s="200">
        <f>H22</f>
        <v>31450</v>
      </c>
      <c r="N22" s="187"/>
    </row>
    <row r="23" spans="1:14" ht="21">
      <c r="A23" s="173" t="s">
        <v>135</v>
      </c>
      <c r="B23" s="174"/>
      <c r="C23" s="10"/>
      <c r="D23" s="4"/>
      <c r="E23" s="11"/>
      <c r="F23" s="11"/>
      <c r="G23" s="12"/>
      <c r="H23" s="109"/>
      <c r="I23" s="88"/>
      <c r="J23" s="84"/>
      <c r="L23" s="187"/>
      <c r="M23" s="188"/>
      <c r="N23" s="187"/>
    </row>
    <row r="24" spans="1:14" ht="60">
      <c r="A24" s="104"/>
      <c r="B24" s="113" t="s">
        <v>151</v>
      </c>
      <c r="C24" s="10">
        <v>1</v>
      </c>
      <c r="D24" s="4" t="s">
        <v>28</v>
      </c>
      <c r="E24" s="11" t="s">
        <v>302</v>
      </c>
      <c r="F24" s="112">
        <v>5</v>
      </c>
      <c r="G24" s="12">
        <v>45000</v>
      </c>
      <c r="H24" s="109">
        <f t="shared" ref="H24" si="2">C24*G24</f>
        <v>45000</v>
      </c>
      <c r="I24" s="88" t="s">
        <v>104</v>
      </c>
      <c r="J24" s="84"/>
      <c r="L24" s="200">
        <f>H24</f>
        <v>45000</v>
      </c>
      <c r="M24" s="188"/>
      <c r="N24" s="187"/>
    </row>
    <row r="25" spans="1:14" ht="21">
      <c r="A25" s="173" t="s">
        <v>136</v>
      </c>
      <c r="B25" s="174"/>
      <c r="C25" s="10"/>
      <c r="D25" s="4"/>
      <c r="E25" s="11"/>
      <c r="F25" s="11"/>
      <c r="G25" s="12"/>
      <c r="H25" s="109"/>
      <c r="I25" s="88"/>
      <c r="J25" s="84"/>
      <c r="L25" s="187"/>
      <c r="M25" s="188"/>
      <c r="N25" s="187"/>
    </row>
    <row r="26" spans="1:14" ht="21">
      <c r="A26" s="4"/>
      <c r="B26" s="4" t="s">
        <v>152</v>
      </c>
      <c r="C26" s="10">
        <v>74229</v>
      </c>
      <c r="D26" s="4" t="s">
        <v>14</v>
      </c>
      <c r="E26" s="11" t="s">
        <v>137</v>
      </c>
      <c r="F26" s="9">
        <v>2</v>
      </c>
      <c r="G26" s="12">
        <v>1.5</v>
      </c>
      <c r="H26" s="109">
        <f t="shared" ref="H26" si="3">C26*G26</f>
        <v>111343.5</v>
      </c>
      <c r="I26" s="88" t="s">
        <v>104</v>
      </c>
      <c r="J26" s="84"/>
      <c r="L26" s="200">
        <f>H26</f>
        <v>111343.5</v>
      </c>
      <c r="M26" s="188"/>
      <c r="N26" s="187"/>
    </row>
    <row r="27" spans="1:14" ht="15.75" thickBot="1">
      <c r="A27" s="4"/>
      <c r="B27" s="4"/>
      <c r="C27" s="10"/>
      <c r="D27" s="4"/>
      <c r="E27" s="11"/>
      <c r="F27" s="11"/>
      <c r="G27" s="12"/>
      <c r="H27" s="13"/>
      <c r="L27" s="190"/>
      <c r="M27" s="190"/>
      <c r="N27" s="190"/>
    </row>
    <row r="28" spans="1:14" ht="15.75" thickBot="1">
      <c r="C28"/>
      <c r="D28"/>
      <c r="E28"/>
      <c r="F28" s="15"/>
      <c r="G28" s="16" t="s">
        <v>16</v>
      </c>
      <c r="H28" s="17">
        <f>SUM(H10:H27)</f>
        <v>592424.64444444445</v>
      </c>
      <c r="L28" s="191">
        <f>SUM(L10:L27)</f>
        <v>276485.94444444444</v>
      </c>
      <c r="M28" s="191">
        <f t="shared" ref="M28:N28" si="4">SUM(M10:M27)</f>
        <v>284127.19999999995</v>
      </c>
      <c r="N28" s="191">
        <f t="shared" si="4"/>
        <v>31811.5</v>
      </c>
    </row>
    <row r="29" spans="1:14">
      <c r="C29"/>
      <c r="D29"/>
      <c r="E29"/>
      <c r="F29" s="18" t="s">
        <v>17</v>
      </c>
      <c r="G29" s="19">
        <v>0.1</v>
      </c>
      <c r="H29" s="13">
        <f>H28*G29</f>
        <v>59242.464444444449</v>
      </c>
      <c r="L29" s="192">
        <f>L28*G29</f>
        <v>27648.594444444447</v>
      </c>
      <c r="M29" s="192">
        <f>M28*G29</f>
        <v>28412.719999999998</v>
      </c>
      <c r="N29" s="192">
        <f>N28*G29</f>
        <v>3181.15</v>
      </c>
    </row>
    <row r="30" spans="1:14">
      <c r="C30"/>
      <c r="D30"/>
      <c r="E30"/>
      <c r="F30" s="18" t="s">
        <v>18</v>
      </c>
      <c r="G30" s="19">
        <v>0.05</v>
      </c>
      <c r="H30" s="13">
        <f>H28*G30</f>
        <v>29621.232222222225</v>
      </c>
      <c r="L30" s="189">
        <f>L28*G30</f>
        <v>13824.297222222223</v>
      </c>
      <c r="M30" s="189">
        <f>M28*G30</f>
        <v>14206.359999999999</v>
      </c>
      <c r="N30" s="189">
        <f>N28*G30</f>
        <v>1590.575</v>
      </c>
    </row>
    <row r="31" spans="1:14">
      <c r="C31"/>
      <c r="D31"/>
      <c r="E31"/>
      <c r="F31" s="18" t="s">
        <v>19</v>
      </c>
      <c r="G31" s="19">
        <v>7.0000000000000007E-2</v>
      </c>
      <c r="H31" s="13">
        <f>H28*G31</f>
        <v>41469.725111111118</v>
      </c>
      <c r="L31" s="189">
        <f>L28*G31</f>
        <v>19354.016111111112</v>
      </c>
      <c r="M31" s="189">
        <f>M28*G31</f>
        <v>19888.903999999999</v>
      </c>
      <c r="N31" s="189">
        <f>N28*G31</f>
        <v>2226.8050000000003</v>
      </c>
    </row>
    <row r="32" spans="1:14" ht="15.75" thickBot="1">
      <c r="C32"/>
      <c r="D32"/>
      <c r="E32"/>
      <c r="F32" s="20" t="s">
        <v>20</v>
      </c>
      <c r="G32" s="21">
        <v>0.03</v>
      </c>
      <c r="H32" s="13">
        <f>H28*G32</f>
        <v>17772.739333333331</v>
      </c>
      <c r="L32" s="193">
        <f>L28*G32</f>
        <v>8294.5783333333329</v>
      </c>
      <c r="M32" s="193">
        <f>M28*G32</f>
        <v>8523.8159999999989</v>
      </c>
      <c r="N32" s="193">
        <f>N28*G32</f>
        <v>954.34499999999991</v>
      </c>
    </row>
    <row r="33" spans="3:14" ht="15.75" thickBot="1">
      <c r="C33"/>
      <c r="D33"/>
      <c r="E33"/>
      <c r="F33"/>
      <c r="G33" s="16" t="s">
        <v>21</v>
      </c>
      <c r="H33" s="17">
        <f>SUM(H28:H32)</f>
        <v>740530.8055555555</v>
      </c>
      <c r="L33" s="191">
        <f>SUM(L28:L32)</f>
        <v>345607.4305555555</v>
      </c>
      <c r="M33" s="191">
        <f t="shared" ref="M33:N33" si="5">SUM(M28:M32)</f>
        <v>355158.99999999988</v>
      </c>
      <c r="N33" s="191">
        <f t="shared" si="5"/>
        <v>39764.375</v>
      </c>
    </row>
    <row r="34" spans="3:14" ht="15.75" thickBot="1">
      <c r="C34"/>
      <c r="D34"/>
      <c r="E34"/>
      <c r="F34" s="22" t="s">
        <v>22</v>
      </c>
      <c r="G34" s="21">
        <v>0.18</v>
      </c>
      <c r="H34" s="23">
        <f>H33*G34</f>
        <v>133295.54499999998</v>
      </c>
      <c r="L34" s="194">
        <f>L33*G34</f>
        <v>62209.337499999987</v>
      </c>
      <c r="M34" s="194">
        <f>M33*G34</f>
        <v>63928.619999999974</v>
      </c>
      <c r="N34" s="194">
        <f>N33*G34</f>
        <v>7157.5874999999996</v>
      </c>
    </row>
    <row r="35" spans="3:14" ht="15.75" thickBot="1">
      <c r="C35"/>
      <c r="D35"/>
      <c r="E35"/>
      <c r="F35"/>
      <c r="G35" s="16" t="s">
        <v>23</v>
      </c>
      <c r="H35" s="17">
        <f>SUM(H33:H34)</f>
        <v>873826.35055555543</v>
      </c>
      <c r="L35" s="191">
        <f>SUM(L33:L34)</f>
        <v>407816.76805555547</v>
      </c>
      <c r="M35" s="191">
        <f t="shared" ref="M35:N35" si="6">SUM(M33:M34)</f>
        <v>419087.61999999988</v>
      </c>
      <c r="N35" s="191">
        <f t="shared" si="6"/>
        <v>46921.962500000001</v>
      </c>
    </row>
  </sheetData>
  <mergeCells count="9">
    <mergeCell ref="A15:B15"/>
    <mergeCell ref="A23:B23"/>
    <mergeCell ref="A25:B25"/>
    <mergeCell ref="I7:J8"/>
    <mergeCell ref="G3:H3"/>
    <mergeCell ref="G4:H4"/>
    <mergeCell ref="G5:H5"/>
    <mergeCell ref="G6:H6"/>
    <mergeCell ref="G7:H7"/>
  </mergeCells>
  <pageMargins left="0.7" right="0.7" top="0.75" bottom="0.75" header="0.3" footer="0.3"/>
  <pageSetup paperSize="3" scale="46" orientation="landscape" r:id="rId1"/>
  <headerFooter scaleWithDoc="0">
    <oddHeader>&amp;R&amp;G</oddHeader>
  </headerFooter>
  <rowBreaks count="1" manualBreakCount="1">
    <brk id="19"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Summary</vt:lpstr>
      <vt:lpstr>Arch</vt:lpstr>
      <vt:lpstr>HVAC</vt:lpstr>
      <vt:lpstr>Elec</vt:lpstr>
      <vt:lpstr>Tech</vt:lpstr>
      <vt:lpstr>Site</vt:lpstr>
      <vt:lpstr>Arch!Print_Area</vt:lpstr>
      <vt:lpstr>Elec!Print_Area</vt:lpstr>
      <vt:lpstr>HVAC!Print_Area</vt:lpstr>
      <vt:lpstr>Site!Print_Area</vt:lpstr>
      <vt:lpstr>Tech!Print_Area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Terrance Liette</dc:creator>
  <cp:lastModifiedBy>mel</cp:lastModifiedBy>
  <cp:lastPrinted>2019-05-15T14:57:16Z</cp:lastPrinted>
  <dcterms:created xsi:type="dcterms:W3CDTF">2018-08-06T23:24:31Z</dcterms:created>
  <dcterms:modified xsi:type="dcterms:W3CDTF">2019-06-06T23:14:26Z</dcterms:modified>
</cp:coreProperties>
</file>