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bes.adremc1.org\homes\khuotari\"/>
    </mc:Choice>
  </mc:AlternateContent>
  <bookViews>
    <workbookView xWindow="0" yWindow="0" windowWidth="28800" windowHeight="12300" firstSheet="1" activeTab="1"/>
  </bookViews>
  <sheets>
    <sheet name="Sheet1" sheetId="1" state="hidden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37" i="2"/>
  <c r="D37" i="2"/>
  <c r="E35" i="2"/>
  <c r="D35" i="2"/>
  <c r="D28" i="2"/>
  <c r="I30" i="2" l="1"/>
  <c r="I28" i="2"/>
  <c r="I21" i="2"/>
  <c r="I32" i="2"/>
  <c r="I31" i="2"/>
  <c r="I25" i="2"/>
  <c r="I23" i="2"/>
  <c r="I11" i="2" l="1"/>
  <c r="F31" i="2"/>
  <c r="D36" i="2"/>
  <c r="E7" i="2"/>
  <c r="D7" i="2"/>
  <c r="D21" i="2"/>
  <c r="D40" i="2"/>
  <c r="D32" i="2"/>
  <c r="D31" i="2"/>
  <c r="D23" i="2"/>
  <c r="D8" i="2"/>
  <c r="F11" i="2" l="1"/>
  <c r="H11" i="2"/>
  <c r="H12" i="2" l="1"/>
  <c r="F12" i="2"/>
  <c r="I43" i="2" l="1"/>
  <c r="I15" i="2"/>
  <c r="D43" i="2"/>
  <c r="E15" i="2"/>
  <c r="C43" i="2"/>
  <c r="C15" i="2"/>
  <c r="C17" i="2" s="1"/>
  <c r="C44" i="2" s="1"/>
  <c r="B44" i="2"/>
  <c r="C16" i="2" s="1"/>
  <c r="F36" i="2"/>
  <c r="F37" i="2"/>
  <c r="F35" i="2"/>
  <c r="F32" i="2"/>
  <c r="F20" i="2"/>
  <c r="F22" i="2"/>
  <c r="F24" i="2"/>
  <c r="F26" i="2"/>
  <c r="F27" i="2"/>
  <c r="F28" i="2"/>
  <c r="F29" i="2"/>
  <c r="F34" i="2"/>
  <c r="F38" i="2"/>
  <c r="F39" i="2"/>
  <c r="F42" i="2"/>
  <c r="H6" i="2"/>
  <c r="H7" i="2"/>
  <c r="H8" i="2"/>
  <c r="H9" i="2"/>
  <c r="H10" i="2"/>
  <c r="H13" i="2"/>
  <c r="H14" i="2"/>
  <c r="F13" i="2"/>
  <c r="F14" i="2"/>
  <c r="F10" i="2"/>
  <c r="E43" i="2" l="1"/>
  <c r="F30" i="2"/>
  <c r="F25" i="2"/>
  <c r="F23" i="2"/>
  <c r="F21" i="2"/>
  <c r="G15" i="2"/>
  <c r="F7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20" i="2"/>
  <c r="F8" i="2"/>
  <c r="F6" i="2"/>
  <c r="F41" i="2"/>
  <c r="D15" i="2"/>
  <c r="G43" i="2"/>
  <c r="F33" i="2"/>
  <c r="H43" i="2" l="1"/>
  <c r="F43" i="2"/>
  <c r="H15" i="2"/>
  <c r="H17" i="2" s="1"/>
  <c r="F9" i="2"/>
  <c r="F15" i="2" s="1"/>
  <c r="B41" i="1"/>
  <c r="H40" i="1"/>
  <c r="G40" i="1"/>
  <c r="C40" i="1"/>
  <c r="H39" i="1"/>
  <c r="F39" i="1"/>
  <c r="H38" i="1"/>
  <c r="E38" i="1"/>
  <c r="F38" i="1" s="1"/>
  <c r="H37" i="1"/>
  <c r="F37" i="1"/>
  <c r="H36" i="1"/>
  <c r="F36" i="1"/>
  <c r="H35" i="1"/>
  <c r="F35" i="1"/>
  <c r="H34" i="1"/>
  <c r="F34" i="1"/>
  <c r="D34" i="1"/>
  <c r="H33" i="1"/>
  <c r="F33" i="1"/>
  <c r="H32" i="1"/>
  <c r="D32" i="1"/>
  <c r="F32" i="1" s="1"/>
  <c r="H31" i="1"/>
  <c r="E31" i="1"/>
  <c r="F31" i="1" s="1"/>
  <c r="H30" i="1"/>
  <c r="E30" i="1"/>
  <c r="F30" i="1" s="1"/>
  <c r="H29" i="1"/>
  <c r="D29" i="1"/>
  <c r="F29" i="1" s="1"/>
  <c r="H28" i="1"/>
  <c r="E28" i="1"/>
  <c r="F28" i="1" s="1"/>
  <c r="D28" i="1"/>
  <c r="H27" i="1"/>
  <c r="E27" i="1"/>
  <c r="F27" i="1" s="1"/>
  <c r="H26" i="1"/>
  <c r="F26" i="1"/>
  <c r="H25" i="1"/>
  <c r="E25" i="1"/>
  <c r="F25" i="1" s="1"/>
  <c r="H24" i="1"/>
  <c r="F24" i="1"/>
  <c r="H23" i="1"/>
  <c r="F23" i="1"/>
  <c r="H22" i="1"/>
  <c r="E22" i="1"/>
  <c r="F22" i="1" s="1"/>
  <c r="H21" i="1"/>
  <c r="F21" i="1"/>
  <c r="H20" i="1"/>
  <c r="E20" i="1"/>
  <c r="F20" i="1" s="1"/>
  <c r="D20" i="1"/>
  <c r="D40" i="1" s="1"/>
  <c r="H19" i="1"/>
  <c r="E19" i="1"/>
  <c r="E10" i="1" s="1"/>
  <c r="F10" i="1" s="1"/>
  <c r="H18" i="1"/>
  <c r="F18" i="1"/>
  <c r="H17" i="1"/>
  <c r="F17" i="1"/>
  <c r="F40" i="1" s="1"/>
  <c r="G12" i="1"/>
  <c r="H12" i="1" s="1"/>
  <c r="H14" i="1" s="1"/>
  <c r="H41" i="1" s="1"/>
  <c r="D12" i="1"/>
  <c r="D14" i="1" s="1"/>
  <c r="C12" i="1"/>
  <c r="C14" i="1" s="1"/>
  <c r="C41" i="1" s="1"/>
  <c r="H11" i="1"/>
  <c r="E11" i="1"/>
  <c r="F11" i="1" s="1"/>
  <c r="H10" i="1"/>
  <c r="D10" i="1"/>
  <c r="H9" i="1"/>
  <c r="E9" i="1"/>
  <c r="F9" i="1" s="1"/>
  <c r="H8" i="1"/>
  <c r="D8" i="1"/>
  <c r="F8" i="1" s="1"/>
  <c r="H7" i="1"/>
  <c r="D7" i="1"/>
  <c r="F7" i="1" s="1"/>
  <c r="H6" i="1"/>
  <c r="E6" i="1"/>
  <c r="F6" i="1" s="1"/>
  <c r="H44" i="2" l="1"/>
  <c r="I16" i="2" s="1"/>
  <c r="I17" i="2" s="1"/>
  <c r="I44" i="2" s="1"/>
  <c r="F12" i="1"/>
  <c r="D41" i="1"/>
  <c r="E12" i="1"/>
  <c r="E40" i="1"/>
</calcChain>
</file>

<file path=xl/sharedStrings.xml><?xml version="1.0" encoding="utf-8"?>
<sst xmlns="http://schemas.openxmlformats.org/spreadsheetml/2006/main" count="125" uniqueCount="62">
  <si>
    <t>EDITING 01-04-2022</t>
  </si>
  <si>
    <t xml:space="preserve">                                                          </t>
  </si>
  <si>
    <t>2020-21</t>
  </si>
  <si>
    <t>2021-22</t>
  </si>
  <si>
    <t>ADJUST</t>
  </si>
  <si>
    <t xml:space="preserve"> </t>
  </si>
  <si>
    <t>AUDIT</t>
  </si>
  <si>
    <t xml:space="preserve">PROPOSED </t>
  </si>
  <si>
    <t>ACTUAL</t>
  </si>
  <si>
    <t>PROJECTED</t>
  </si>
  <si>
    <t xml:space="preserve">TO </t>
  </si>
  <si>
    <t>AMENDED FINAL</t>
  </si>
  <si>
    <t>BUDGET</t>
  </si>
  <si>
    <t>TO DATE</t>
  </si>
  <si>
    <t>TO YR END</t>
  </si>
  <si>
    <t>VARIANCE</t>
  </si>
  <si>
    <t>REVENUES:</t>
  </si>
  <si>
    <t>State Payment</t>
  </si>
  <si>
    <t>Federal Payment</t>
  </si>
  <si>
    <t>Local Revenue - Purchases</t>
  </si>
  <si>
    <t>State - Equipment Grant</t>
  </si>
  <si>
    <t xml:space="preserve">ESSER II </t>
  </si>
  <si>
    <t>Misc. Revenue</t>
  </si>
  <si>
    <t>TOTAL REVENUES</t>
  </si>
  <si>
    <t xml:space="preserve">FUND BALANCE </t>
  </si>
  <si>
    <t xml:space="preserve">  </t>
  </si>
  <si>
    <t>TOTAL REVENUE &amp; F/B</t>
  </si>
  <si>
    <t>EXPENSES:</t>
  </si>
  <si>
    <t>Head Cook Salary</t>
  </si>
  <si>
    <t>F/S Director - ESSER II</t>
  </si>
  <si>
    <t>F/S Consultant</t>
  </si>
  <si>
    <t>Asst. Cook &amp; Servers</t>
  </si>
  <si>
    <t>F/S Hazard Pay - Salary</t>
  </si>
  <si>
    <t>Health Insurance</t>
  </si>
  <si>
    <t>Sick Day Payout</t>
  </si>
  <si>
    <t>Hazard Pay MIP</t>
  </si>
  <si>
    <t>F/S Director - ESSER II MIP</t>
  </si>
  <si>
    <t>Hazard Pay FICA</t>
  </si>
  <si>
    <t>F/S Director - ESSER II FICA</t>
  </si>
  <si>
    <t>MIP</t>
  </si>
  <si>
    <t>FICA</t>
  </si>
  <si>
    <t>District Obligation - FICA</t>
  </si>
  <si>
    <t>Workers Comp.</t>
  </si>
  <si>
    <t>Food &amp; Milk Purchases</t>
  </si>
  <si>
    <t>Commodities</t>
  </si>
  <si>
    <t>Non-Food Purchases</t>
  </si>
  <si>
    <t>Resale Supplies</t>
  </si>
  <si>
    <t>Equipment Purchase</t>
  </si>
  <si>
    <t>Equipment Repair</t>
  </si>
  <si>
    <t>State Equipment Grant</t>
  </si>
  <si>
    <t>Misc. Expenses</t>
  </si>
  <si>
    <t>TOTAL EXPENSES</t>
  </si>
  <si>
    <t>EXPENSES OVER REVENUE</t>
  </si>
  <si>
    <t>OR REVENUE OVER EXP - FUND BALANCE</t>
  </si>
  <si>
    <t>AMENDED</t>
  </si>
  <si>
    <t>PROPOSED</t>
  </si>
  <si>
    <t>TO YEAR END</t>
  </si>
  <si>
    <t>2022-23</t>
  </si>
  <si>
    <t>Headstart Revenue</t>
  </si>
  <si>
    <t>USDA Supply Chain Assistance Grant</t>
  </si>
  <si>
    <t>ESSER III</t>
  </si>
  <si>
    <t>FINAL EDIT 06.27.2022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</si>
</sst>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2" fillId="0" borderId="0" xfId="0" applyFont="1"/>
    <xf numFmtId="39" fontId="0" fillId="0" borderId="0" xfId="0" applyNumberFormat="1"/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Alignment="1">
      <alignment horizontal="left"/>
    </xf>
    <xf numFmtId="4" fontId="2" fillId="0" borderId="0" xfId="0" applyNumberFormat="1" applyFont="1" applyFill="1"/>
    <xf numFmtId="39" fontId="2" fillId="0" borderId="0" xfId="0" applyNumberFormat="1" applyFont="1" applyFill="1"/>
    <xf numFmtId="0" fontId="2" fillId="0" borderId="0" xfId="0" applyFont="1" applyFill="1"/>
    <xf numFmtId="39" fontId="0" fillId="0" borderId="0" xfId="0" applyNumberFormat="1" applyFill="1"/>
    <xf numFmtId="39" fontId="6" fillId="0" borderId="0" xfId="0" applyNumberFormat="1" applyFont="1" applyFill="1"/>
    <xf numFmtId="39" fontId="6" fillId="0" borderId="0" xfId="0" applyNumberFormat="1" applyFont="1"/>
    <xf numFmtId="4" fontId="6" fillId="0" borderId="0" xfId="0" applyNumberFormat="1" applyFont="1" applyFill="1"/>
    <xf numFmtId="7" fontId="3" fillId="0" borderId="0" xfId="0" applyNumberFormat="1" applyFont="1" applyFill="1"/>
    <xf numFmtId="7" fontId="3" fillId="0" borderId="0" xfId="0" applyNumberFormat="1" applyFont="1"/>
    <xf numFmtId="39" fontId="3" fillId="0" borderId="0" xfId="0" applyNumberFormat="1" applyFont="1" applyFill="1"/>
    <xf numFmtId="4" fontId="4" fillId="0" borderId="0" xfId="0" applyNumberFormat="1" applyFont="1" applyFill="1"/>
    <xf numFmtId="7" fontId="4" fillId="0" borderId="0" xfId="0" applyNumberFormat="1" applyFont="1" applyFill="1"/>
    <xf numFmtId="0" fontId="7" fillId="0" borderId="0" xfId="0" applyFont="1" applyFill="1"/>
    <xf numFmtId="7" fontId="7" fillId="0" borderId="0" xfId="0" applyNumberFormat="1" applyFont="1" applyFill="1"/>
    <xf numFmtId="7" fontId="7" fillId="0" borderId="0" xfId="0" applyNumberFormat="1" applyFont="1"/>
    <xf numFmtId="0" fontId="1" fillId="0" borderId="1" xfId="1" applyFill="1"/>
    <xf numFmtId="7" fontId="1" fillId="0" borderId="1" xfId="1" applyNumberFormat="1" applyFill="1"/>
    <xf numFmtId="7" fontId="1" fillId="0" borderId="1" xfId="1" applyNumberFormat="1"/>
    <xf numFmtId="4" fontId="1" fillId="0" borderId="1" xfId="1" applyNumberFormat="1" applyFill="1"/>
    <xf numFmtId="39" fontId="1" fillId="0" borderId="1" xfId="1" applyNumberFormat="1" applyFill="1"/>
    <xf numFmtId="0" fontId="0" fillId="2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7" fontId="0" fillId="0" borderId="0" xfId="0" applyNumberFormat="1"/>
    <xf numFmtId="39" fontId="3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39" fontId="8" fillId="0" borderId="0" xfId="0" applyNumberFormat="1" applyFont="1" applyFill="1"/>
    <xf numFmtId="4" fontId="0" fillId="0" borderId="0" xfId="0" applyNumberFormat="1"/>
    <xf numFmtId="2" fontId="8" fillId="0" borderId="0" xfId="0" applyNumberFormat="1" applyFont="1" applyFill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H14" sqref="H14"/>
    </sheetView>
  </sheetViews>
  <sheetFormatPr defaultRowHeight="15" x14ac:dyDescent="0.25"/>
  <cols>
    <col min="1" max="1" width="39.85546875" bestFit="1" customWidth="1"/>
    <col min="2" max="2" width="11.7109375" bestFit="1" customWidth="1"/>
    <col min="3" max="3" width="12" bestFit="1" customWidth="1"/>
    <col min="4" max="4" width="11.7109375" bestFit="1" customWidth="1"/>
    <col min="5" max="5" width="12" bestFit="1" customWidth="1"/>
    <col min="6" max="7" width="10.7109375" bestFit="1" customWidth="1"/>
    <col min="8" max="8" width="16.140625" bestFit="1" customWidth="1"/>
  </cols>
  <sheetData>
    <row r="1" spans="1:8" x14ac:dyDescent="0.25">
      <c r="A1" t="s">
        <v>0</v>
      </c>
      <c r="E1" s="1"/>
      <c r="H1" s="2"/>
    </row>
    <row r="2" spans="1:8" x14ac:dyDescent="0.25">
      <c r="A2" s="1" t="s">
        <v>1</v>
      </c>
      <c r="B2" s="3" t="s">
        <v>2</v>
      </c>
      <c r="C2" s="4" t="s">
        <v>3</v>
      </c>
      <c r="D2" s="3" t="s">
        <v>3</v>
      </c>
      <c r="E2" s="3" t="s">
        <v>3</v>
      </c>
      <c r="F2" s="5"/>
      <c r="G2" s="4" t="s">
        <v>4</v>
      </c>
      <c r="H2" s="3" t="s">
        <v>3</v>
      </c>
    </row>
    <row r="3" spans="1:8" x14ac:dyDescent="0.25">
      <c r="A3" s="1" t="s">
        <v>5</v>
      </c>
      <c r="B3" s="3" t="s">
        <v>6</v>
      </c>
      <c r="C3" s="4" t="s">
        <v>7</v>
      </c>
      <c r="D3" s="3" t="s">
        <v>8</v>
      </c>
      <c r="E3" s="3" t="s">
        <v>9</v>
      </c>
      <c r="F3" s="5"/>
      <c r="G3" s="4" t="s">
        <v>10</v>
      </c>
      <c r="H3" s="3" t="s">
        <v>11</v>
      </c>
    </row>
    <row r="4" spans="1:8" x14ac:dyDescent="0.25">
      <c r="A4" s="1"/>
      <c r="B4" s="6" t="s">
        <v>8</v>
      </c>
      <c r="C4" s="7" t="s">
        <v>12</v>
      </c>
      <c r="D4" s="6" t="s">
        <v>13</v>
      </c>
      <c r="E4" s="6" t="s">
        <v>14</v>
      </c>
      <c r="F4" s="6" t="s">
        <v>15</v>
      </c>
      <c r="G4" s="7" t="s">
        <v>12</v>
      </c>
      <c r="H4" s="6" t="s">
        <v>12</v>
      </c>
    </row>
    <row r="5" spans="1:8" x14ac:dyDescent="0.25">
      <c r="A5" s="8" t="s">
        <v>16</v>
      </c>
      <c r="B5" s="9"/>
      <c r="C5" s="10"/>
      <c r="D5" s="11"/>
      <c r="E5" s="11"/>
      <c r="F5" s="11"/>
      <c r="G5" s="12"/>
      <c r="H5" s="9"/>
    </row>
    <row r="6" spans="1:8" x14ac:dyDescent="0.25">
      <c r="A6" s="13" t="s">
        <v>17</v>
      </c>
      <c r="B6" s="14"/>
      <c r="C6" s="2">
        <v>6500</v>
      </c>
      <c r="D6" s="11">
        <v>1505.59</v>
      </c>
      <c r="E6" s="11">
        <f>750*7</f>
        <v>5250</v>
      </c>
      <c r="F6" s="12">
        <f t="shared" ref="F6:F11" si="0">SUM(E6+D6-C6)</f>
        <v>255.59000000000015</v>
      </c>
      <c r="G6" s="12">
        <v>0</v>
      </c>
      <c r="H6" s="14">
        <f t="shared" ref="H6:H12" si="1">SUM(C6+G6)</f>
        <v>6500</v>
      </c>
    </row>
    <row r="7" spans="1:8" x14ac:dyDescent="0.25">
      <c r="A7" s="13" t="s">
        <v>18</v>
      </c>
      <c r="B7" s="14"/>
      <c r="C7" s="2">
        <v>170000</v>
      </c>
      <c r="D7" s="11">
        <f>13777.69+45418.44</f>
        <v>59196.130000000005</v>
      </c>
      <c r="E7" s="11">
        <v>115000</v>
      </c>
      <c r="F7" s="12">
        <f t="shared" si="0"/>
        <v>4196.1300000000047</v>
      </c>
      <c r="G7" s="12">
        <v>4000</v>
      </c>
      <c r="H7" s="14">
        <f t="shared" si="1"/>
        <v>174000</v>
      </c>
    </row>
    <row r="8" spans="1:8" x14ac:dyDescent="0.25">
      <c r="A8" s="13" t="s">
        <v>19</v>
      </c>
      <c r="B8" s="14"/>
      <c r="C8" s="2">
        <v>3500</v>
      </c>
      <c r="D8" s="11">
        <f>1975.1+256.25+5</f>
        <v>2236.35</v>
      </c>
      <c r="E8" s="11">
        <v>1500</v>
      </c>
      <c r="F8" s="12">
        <f t="shared" si="0"/>
        <v>236.34999999999991</v>
      </c>
      <c r="G8" s="12">
        <v>200</v>
      </c>
      <c r="H8" s="14">
        <f t="shared" si="1"/>
        <v>3700</v>
      </c>
    </row>
    <row r="9" spans="1:8" x14ac:dyDescent="0.25">
      <c r="A9" s="13" t="s">
        <v>20</v>
      </c>
      <c r="B9" s="14"/>
      <c r="C9" s="2">
        <v>0</v>
      </c>
      <c r="D9" s="11">
        <v>0</v>
      </c>
      <c r="E9" s="11">
        <f>SUM(C9-D9)</f>
        <v>0</v>
      </c>
      <c r="F9" s="12">
        <f t="shared" si="0"/>
        <v>0</v>
      </c>
      <c r="G9" s="12">
        <v>0</v>
      </c>
      <c r="H9" s="14">
        <f t="shared" si="1"/>
        <v>0</v>
      </c>
    </row>
    <row r="10" spans="1:8" x14ac:dyDescent="0.25">
      <c r="A10" s="13" t="s">
        <v>21</v>
      </c>
      <c r="B10" s="14"/>
      <c r="C10" s="2">
        <v>0</v>
      </c>
      <c r="D10" s="11">
        <f>SUM(D21,D24,D26,D19)</f>
        <v>2785.97</v>
      </c>
      <c r="E10" s="11">
        <f>SUM(E18,E19,E25,E27)</f>
        <v>19446</v>
      </c>
      <c r="F10" s="12">
        <f t="shared" si="0"/>
        <v>22231.97</v>
      </c>
      <c r="G10" s="12">
        <v>22231.97</v>
      </c>
      <c r="H10" s="14">
        <f t="shared" si="1"/>
        <v>22231.97</v>
      </c>
    </row>
    <row r="11" spans="1:8" x14ac:dyDescent="0.25">
      <c r="A11" s="13" t="s">
        <v>22</v>
      </c>
      <c r="B11" s="15"/>
      <c r="C11" s="16">
        <v>7000</v>
      </c>
      <c r="D11" s="17">
        <v>4758.78</v>
      </c>
      <c r="E11" s="17">
        <f>1400*6</f>
        <v>8400</v>
      </c>
      <c r="F11" s="15">
        <f t="shared" si="0"/>
        <v>6158.7799999999988</v>
      </c>
      <c r="G11" s="15">
        <v>6000</v>
      </c>
      <c r="H11" s="15">
        <f t="shared" si="1"/>
        <v>13000</v>
      </c>
    </row>
    <row r="12" spans="1:8" x14ac:dyDescent="0.25">
      <c r="A12" s="8" t="s">
        <v>23</v>
      </c>
      <c r="B12" s="18">
        <v>186050</v>
      </c>
      <c r="C12" s="19">
        <f>SUM(C6:C11)</f>
        <v>187000</v>
      </c>
      <c r="D12" s="18">
        <f>SUM(D6:D11)</f>
        <v>70482.819999999992</v>
      </c>
      <c r="E12" s="18">
        <f>SUM(E6:E11)</f>
        <v>149596</v>
      </c>
      <c r="F12" s="20">
        <f>SUM(F6:F11)</f>
        <v>33078.820000000007</v>
      </c>
      <c r="G12" s="18">
        <f>SUM(G6:G11)</f>
        <v>32431.97</v>
      </c>
      <c r="H12" s="18">
        <f t="shared" si="1"/>
        <v>219431.97</v>
      </c>
    </row>
    <row r="13" spans="1:8" x14ac:dyDescent="0.25">
      <c r="A13" s="8" t="s">
        <v>24</v>
      </c>
      <c r="B13" s="21">
        <v>50445</v>
      </c>
      <c r="C13" s="21">
        <v>32374</v>
      </c>
      <c r="D13" s="21">
        <v>32374</v>
      </c>
      <c r="E13" s="11" t="s">
        <v>25</v>
      </c>
      <c r="F13" s="12"/>
      <c r="G13" s="22"/>
      <c r="H13" s="21">
        <v>32374</v>
      </c>
    </row>
    <row r="14" spans="1:8" x14ac:dyDescent="0.25">
      <c r="A14" s="23" t="s">
        <v>26</v>
      </c>
      <c r="B14" s="24"/>
      <c r="C14" s="25">
        <f>SUM(C12:C13)</f>
        <v>219374</v>
      </c>
      <c r="D14" s="25">
        <f>SUM(D12:D13)</f>
        <v>102856.81999999999</v>
      </c>
      <c r="E14" s="24"/>
      <c r="F14" s="24"/>
      <c r="G14" s="24"/>
      <c r="H14" s="24">
        <f>SUM(H12:H13)</f>
        <v>251805.97</v>
      </c>
    </row>
    <row r="15" spans="1:8" x14ac:dyDescent="0.25">
      <c r="A15" s="8"/>
      <c r="B15" s="9"/>
      <c r="D15" s="11"/>
      <c r="E15" s="11"/>
      <c r="F15" s="12"/>
      <c r="G15" s="12"/>
      <c r="H15" s="9"/>
    </row>
    <row r="16" spans="1:8" x14ac:dyDescent="0.25">
      <c r="A16" s="8" t="s">
        <v>27</v>
      </c>
      <c r="B16" s="9"/>
      <c r="D16" s="11"/>
      <c r="E16" s="11"/>
      <c r="F16" s="12"/>
      <c r="G16" s="12"/>
      <c r="H16" s="9"/>
    </row>
    <row r="17" spans="1:8" x14ac:dyDescent="0.25">
      <c r="A17" s="13" t="s">
        <v>28</v>
      </c>
      <c r="B17" s="14"/>
      <c r="C17" s="2">
        <v>20500</v>
      </c>
      <c r="D17" s="11">
        <v>5255.74</v>
      </c>
      <c r="E17" s="11">
        <v>0</v>
      </c>
      <c r="F17" s="12">
        <f>SUM(E17+D17-C17)</f>
        <v>-15244.26</v>
      </c>
      <c r="G17" s="12">
        <v>-15244.26</v>
      </c>
      <c r="H17" s="14">
        <f>SUM(C17+G17)</f>
        <v>5255.74</v>
      </c>
    </row>
    <row r="18" spans="1:8" x14ac:dyDescent="0.25">
      <c r="A18" s="13" t="s">
        <v>29</v>
      </c>
      <c r="B18" s="14"/>
      <c r="C18" s="2">
        <v>0</v>
      </c>
      <c r="D18" s="11">
        <v>4776.75</v>
      </c>
      <c r="E18" s="11">
        <v>14000</v>
      </c>
      <c r="F18" s="12">
        <f t="shared" ref="F18:F39" si="2">SUM(E18+D18-C18)</f>
        <v>18776.75</v>
      </c>
      <c r="G18" s="12">
        <v>18776.75</v>
      </c>
      <c r="H18" s="14">
        <f t="shared" ref="H18:H40" si="3">SUM(C18+G18)</f>
        <v>18776.75</v>
      </c>
    </row>
    <row r="19" spans="1:8" x14ac:dyDescent="0.25">
      <c r="A19" s="13" t="s">
        <v>30</v>
      </c>
      <c r="B19" s="14"/>
      <c r="C19" s="2">
        <v>0</v>
      </c>
      <c r="D19" s="11">
        <v>575</v>
      </c>
      <c r="E19" s="11">
        <f>750-575</f>
        <v>175</v>
      </c>
      <c r="F19" s="12">
        <v>750</v>
      </c>
      <c r="G19" s="12">
        <v>750</v>
      </c>
      <c r="H19" s="14">
        <f t="shared" si="3"/>
        <v>750</v>
      </c>
    </row>
    <row r="20" spans="1:8" x14ac:dyDescent="0.25">
      <c r="A20" s="13" t="s">
        <v>31</v>
      </c>
      <c r="B20" s="14"/>
      <c r="C20" s="2">
        <v>39000</v>
      </c>
      <c r="D20" s="11">
        <f>337.5+5208.53+9473.83+3428.8</f>
        <v>18448.66</v>
      </c>
      <c r="E20" s="11">
        <f>7800+14400+13200</f>
        <v>35400</v>
      </c>
      <c r="F20" s="12">
        <f t="shared" si="2"/>
        <v>14848.660000000003</v>
      </c>
      <c r="G20" s="12">
        <v>14848.66</v>
      </c>
      <c r="H20" s="14">
        <f t="shared" si="3"/>
        <v>53848.66</v>
      </c>
    </row>
    <row r="21" spans="1:8" x14ac:dyDescent="0.25">
      <c r="A21" s="13" t="s">
        <v>32</v>
      </c>
      <c r="B21" s="14"/>
      <c r="C21" s="2"/>
      <c r="D21" s="11">
        <v>1625</v>
      </c>
      <c r="E21" s="11">
        <v>0</v>
      </c>
      <c r="F21" s="12">
        <f t="shared" si="2"/>
        <v>1625</v>
      </c>
      <c r="G21" s="12">
        <v>1625</v>
      </c>
      <c r="H21" s="14">
        <f t="shared" si="3"/>
        <v>1625</v>
      </c>
    </row>
    <row r="22" spans="1:8" x14ac:dyDescent="0.25">
      <c r="A22" s="13" t="s">
        <v>33</v>
      </c>
      <c r="B22" s="14"/>
      <c r="C22" s="2">
        <v>2700</v>
      </c>
      <c r="D22" s="11">
        <v>378.54</v>
      </c>
      <c r="E22" s="11">
        <f>C22-D22</f>
        <v>2321.46</v>
      </c>
      <c r="F22" s="12">
        <f t="shared" si="2"/>
        <v>0</v>
      </c>
      <c r="G22" s="12">
        <v>0</v>
      </c>
      <c r="H22" s="14">
        <f t="shared" si="3"/>
        <v>2700</v>
      </c>
    </row>
    <row r="23" spans="1:8" x14ac:dyDescent="0.25">
      <c r="A23" s="13" t="s">
        <v>34</v>
      </c>
      <c r="B23" s="14"/>
      <c r="C23" s="2">
        <v>1000</v>
      </c>
      <c r="D23" s="11">
        <v>0</v>
      </c>
      <c r="E23" s="11">
        <v>1000</v>
      </c>
      <c r="F23" s="12">
        <f t="shared" si="2"/>
        <v>0</v>
      </c>
      <c r="G23" s="12">
        <v>0</v>
      </c>
      <c r="H23" s="14">
        <f t="shared" si="3"/>
        <v>1000</v>
      </c>
    </row>
    <row r="24" spans="1:8" x14ac:dyDescent="0.25">
      <c r="A24" s="13" t="s">
        <v>35</v>
      </c>
      <c r="B24" s="14"/>
      <c r="C24" s="2"/>
      <c r="D24" s="11">
        <v>462.52</v>
      </c>
      <c r="E24" s="11">
        <v>0</v>
      </c>
      <c r="F24" s="12">
        <f t="shared" si="2"/>
        <v>462.52</v>
      </c>
      <c r="G24" s="12">
        <v>462.52</v>
      </c>
      <c r="H24" s="14">
        <f t="shared" si="3"/>
        <v>462.52</v>
      </c>
    </row>
    <row r="25" spans="1:8" x14ac:dyDescent="0.25">
      <c r="A25" s="13" t="s">
        <v>36</v>
      </c>
      <c r="B25" s="14"/>
      <c r="C25" s="2"/>
      <c r="D25" s="11">
        <v>1440.69</v>
      </c>
      <c r="E25" s="11">
        <f>4200</f>
        <v>4200</v>
      </c>
      <c r="F25" s="12">
        <f t="shared" si="2"/>
        <v>5640.6900000000005</v>
      </c>
      <c r="G25" s="12">
        <v>5640.69</v>
      </c>
      <c r="H25" s="14">
        <f t="shared" si="3"/>
        <v>5640.69</v>
      </c>
    </row>
    <row r="26" spans="1:8" x14ac:dyDescent="0.25">
      <c r="A26" s="13" t="s">
        <v>37</v>
      </c>
      <c r="B26" s="14"/>
      <c r="C26" s="2"/>
      <c r="D26" s="11">
        <v>123.45</v>
      </c>
      <c r="E26" s="11">
        <v>0</v>
      </c>
      <c r="F26" s="12">
        <f t="shared" si="2"/>
        <v>123.45</v>
      </c>
      <c r="G26" s="12">
        <v>123.45</v>
      </c>
      <c r="H26" s="14">
        <f t="shared" si="3"/>
        <v>123.45</v>
      </c>
    </row>
    <row r="27" spans="1:8" x14ac:dyDescent="0.25">
      <c r="A27" s="13" t="s">
        <v>38</v>
      </c>
      <c r="B27" s="14"/>
      <c r="C27" s="2"/>
      <c r="D27" s="11">
        <v>365.42</v>
      </c>
      <c r="E27" s="11">
        <f>E18*7.65%</f>
        <v>1071</v>
      </c>
      <c r="F27" s="12">
        <f t="shared" si="2"/>
        <v>1436.42</v>
      </c>
      <c r="G27" s="12">
        <v>1500</v>
      </c>
      <c r="H27" s="14">
        <f t="shared" si="3"/>
        <v>1500</v>
      </c>
    </row>
    <row r="28" spans="1:8" x14ac:dyDescent="0.25">
      <c r="A28" s="13" t="s">
        <v>39</v>
      </c>
      <c r="B28" s="14"/>
      <c r="C28" s="2">
        <v>17000</v>
      </c>
      <c r="D28" s="11">
        <f>1460.52+2664.98+1441.72+942.91</f>
        <v>6510.13</v>
      </c>
      <c r="E28" s="11">
        <f>C28-D28</f>
        <v>10489.869999999999</v>
      </c>
      <c r="F28" s="12">
        <f t="shared" si="2"/>
        <v>0</v>
      </c>
      <c r="G28" s="12">
        <v>0</v>
      </c>
      <c r="H28" s="14">
        <f t="shared" si="3"/>
        <v>17000</v>
      </c>
    </row>
    <row r="29" spans="1:8" x14ac:dyDescent="0.25">
      <c r="A29" s="13" t="s">
        <v>40</v>
      </c>
      <c r="B29" s="14"/>
      <c r="C29" s="2">
        <v>5000</v>
      </c>
      <c r="D29" s="11">
        <f>389.29+739.88+402.06+262.31</f>
        <v>1793.54</v>
      </c>
      <c r="E29" s="11">
        <v>2800</v>
      </c>
      <c r="F29" s="12">
        <f t="shared" si="2"/>
        <v>-406.46000000000004</v>
      </c>
      <c r="G29" s="12">
        <v>-406.46</v>
      </c>
      <c r="H29" s="14">
        <f t="shared" si="3"/>
        <v>4593.54</v>
      </c>
    </row>
    <row r="30" spans="1:8" x14ac:dyDescent="0.25">
      <c r="A30" s="13" t="s">
        <v>41</v>
      </c>
      <c r="B30" s="14"/>
      <c r="C30" s="2">
        <v>0</v>
      </c>
      <c r="D30" s="11">
        <v>0</v>
      </c>
      <c r="E30" s="11">
        <f>C30-D30</f>
        <v>0</v>
      </c>
      <c r="F30" s="12">
        <f t="shared" si="2"/>
        <v>0</v>
      </c>
      <c r="G30" s="12">
        <v>0</v>
      </c>
      <c r="H30" s="14">
        <f t="shared" si="3"/>
        <v>0</v>
      </c>
    </row>
    <row r="31" spans="1:8" x14ac:dyDescent="0.25">
      <c r="A31" s="13" t="s">
        <v>42</v>
      </c>
      <c r="B31" s="14"/>
      <c r="C31" s="2">
        <v>400</v>
      </c>
      <c r="D31" s="12">
        <v>220</v>
      </c>
      <c r="E31" s="11">
        <f>400-220</f>
        <v>180</v>
      </c>
      <c r="F31" s="12">
        <f t="shared" si="2"/>
        <v>0</v>
      </c>
      <c r="G31" s="12">
        <v>0</v>
      </c>
      <c r="H31" s="14">
        <f t="shared" si="3"/>
        <v>400</v>
      </c>
    </row>
    <row r="32" spans="1:8" x14ac:dyDescent="0.25">
      <c r="A32" s="13" t="s">
        <v>43</v>
      </c>
      <c r="B32" s="14"/>
      <c r="C32" s="2">
        <v>75000</v>
      </c>
      <c r="D32" s="11">
        <f>6572.36+34936.68</f>
        <v>41509.040000000001</v>
      </c>
      <c r="E32" s="11">
        <v>70000</v>
      </c>
      <c r="F32" s="12">
        <f t="shared" si="2"/>
        <v>36509.040000000008</v>
      </c>
      <c r="G32" s="12">
        <v>36509.040000000001</v>
      </c>
      <c r="H32" s="14">
        <f t="shared" si="3"/>
        <v>111509.04000000001</v>
      </c>
    </row>
    <row r="33" spans="1:8" x14ac:dyDescent="0.25">
      <c r="A33" s="13" t="s">
        <v>44</v>
      </c>
      <c r="B33" s="14"/>
      <c r="C33" s="2">
        <v>23500</v>
      </c>
      <c r="D33" s="11">
        <v>10307.84</v>
      </c>
      <c r="E33" s="11">
        <v>17500</v>
      </c>
      <c r="F33" s="12">
        <f t="shared" si="2"/>
        <v>4307.84</v>
      </c>
      <c r="G33" s="12">
        <v>4307.84</v>
      </c>
      <c r="H33" s="14">
        <f t="shared" si="3"/>
        <v>27807.84</v>
      </c>
    </row>
    <row r="34" spans="1:8" x14ac:dyDescent="0.25">
      <c r="A34" s="13" t="s">
        <v>45</v>
      </c>
      <c r="B34" s="14"/>
      <c r="C34" s="2">
        <v>5000</v>
      </c>
      <c r="D34" s="11">
        <f>1130.54+2091.33</f>
        <v>3221.87</v>
      </c>
      <c r="E34" s="11">
        <v>5000</v>
      </c>
      <c r="F34" s="12">
        <f t="shared" si="2"/>
        <v>3221.869999999999</v>
      </c>
      <c r="G34" s="12">
        <v>3221.87</v>
      </c>
      <c r="H34" s="14">
        <f t="shared" si="3"/>
        <v>8221.869999999999</v>
      </c>
    </row>
    <row r="35" spans="1:8" x14ac:dyDescent="0.25">
      <c r="A35" s="13" t="s">
        <v>46</v>
      </c>
      <c r="B35" s="14"/>
      <c r="C35" s="2">
        <v>100</v>
      </c>
      <c r="D35" s="11">
        <v>0</v>
      </c>
      <c r="E35" s="11">
        <v>0</v>
      </c>
      <c r="F35" s="12">
        <f t="shared" si="2"/>
        <v>-100</v>
      </c>
      <c r="G35" s="12">
        <v>-100</v>
      </c>
      <c r="H35" s="14">
        <f t="shared" si="3"/>
        <v>0</v>
      </c>
    </row>
    <row r="36" spans="1:8" x14ac:dyDescent="0.25">
      <c r="A36" s="13" t="s">
        <v>47</v>
      </c>
      <c r="B36" s="14"/>
      <c r="C36" s="2">
        <v>3000</v>
      </c>
      <c r="D36" s="11">
        <v>0</v>
      </c>
      <c r="E36" s="11">
        <v>1500</v>
      </c>
      <c r="F36" s="12">
        <f t="shared" si="2"/>
        <v>-1500</v>
      </c>
      <c r="G36" s="12">
        <v>-1500</v>
      </c>
      <c r="H36" s="14">
        <f t="shared" si="3"/>
        <v>1500</v>
      </c>
    </row>
    <row r="37" spans="1:8" x14ac:dyDescent="0.25">
      <c r="A37" s="13" t="s">
        <v>48</v>
      </c>
      <c r="B37" s="14"/>
      <c r="C37" s="2">
        <v>5000</v>
      </c>
      <c r="D37" s="11">
        <v>846.33</v>
      </c>
      <c r="E37" s="11">
        <v>3000</v>
      </c>
      <c r="F37" s="12">
        <f t="shared" si="2"/>
        <v>-1153.67</v>
      </c>
      <c r="G37" s="12">
        <v>-1153.67</v>
      </c>
      <c r="H37" s="14">
        <f t="shared" si="3"/>
        <v>3846.33</v>
      </c>
    </row>
    <row r="38" spans="1:8" x14ac:dyDescent="0.25">
      <c r="A38" s="13" t="s">
        <v>49</v>
      </c>
      <c r="B38" s="14"/>
      <c r="C38" s="2">
        <v>0</v>
      </c>
      <c r="D38" s="11">
        <v>0</v>
      </c>
      <c r="E38" s="11">
        <f>C38-D38</f>
        <v>0</v>
      </c>
      <c r="F38" s="12">
        <f t="shared" si="2"/>
        <v>0</v>
      </c>
      <c r="G38" s="12">
        <v>0</v>
      </c>
      <c r="H38" s="14">
        <f t="shared" si="3"/>
        <v>0</v>
      </c>
    </row>
    <row r="39" spans="1:8" x14ac:dyDescent="0.25">
      <c r="A39" s="13" t="s">
        <v>50</v>
      </c>
      <c r="B39" s="15"/>
      <c r="C39" s="16">
        <v>3000</v>
      </c>
      <c r="D39" s="17">
        <v>3523.31</v>
      </c>
      <c r="E39" s="17">
        <v>1000</v>
      </c>
      <c r="F39" s="15">
        <f t="shared" si="2"/>
        <v>1523.3099999999995</v>
      </c>
      <c r="G39" s="15">
        <v>1523.31</v>
      </c>
      <c r="H39" s="15">
        <f t="shared" si="3"/>
        <v>4523.3099999999995</v>
      </c>
    </row>
    <row r="40" spans="1:8" x14ac:dyDescent="0.25">
      <c r="A40" s="23" t="s">
        <v>51</v>
      </c>
      <c r="B40" s="24">
        <v>204121</v>
      </c>
      <c r="C40" s="25">
        <f>SUM(C17:C39)</f>
        <v>200200</v>
      </c>
      <c r="D40" s="24">
        <f>SUM(D17:D39)</f>
        <v>101383.82999999999</v>
      </c>
      <c r="E40" s="24">
        <f>SUM(E17:E39)</f>
        <v>169637.33000000002</v>
      </c>
      <c r="F40" s="24">
        <f>SUM(F17:F39)</f>
        <v>70821.16</v>
      </c>
      <c r="G40" s="24">
        <f>SUM(G17:G39)</f>
        <v>70884.739999999991</v>
      </c>
      <c r="H40" s="24">
        <f t="shared" si="3"/>
        <v>271084.74</v>
      </c>
    </row>
    <row r="41" spans="1:8" ht="15.75" thickBot="1" x14ac:dyDescent="0.3">
      <c r="A41" s="26" t="s">
        <v>52</v>
      </c>
      <c r="B41" s="27">
        <f>B12+B13-B40</f>
        <v>32374</v>
      </c>
      <c r="C41" s="28">
        <f>C14-C40</f>
        <v>19174</v>
      </c>
      <c r="D41" s="28">
        <f>D14-D40</f>
        <v>1472.9900000000052</v>
      </c>
      <c r="E41" s="29"/>
      <c r="F41" s="30"/>
      <c r="G41" s="30"/>
      <c r="H41" s="27">
        <f>SUM(H14-H40)</f>
        <v>-19278.76999999999</v>
      </c>
    </row>
    <row r="42" spans="1:8" ht="15.75" thickTop="1" x14ac:dyDescent="0.25">
      <c r="A42" s="8" t="s">
        <v>53</v>
      </c>
      <c r="B42" s="9"/>
      <c r="C42" s="9"/>
      <c r="D42" s="9"/>
      <c r="E42" s="11"/>
      <c r="F42" s="11"/>
      <c r="G42" s="12"/>
      <c r="H42" s="12"/>
    </row>
  </sheetData>
  <printOptions gridLines="1"/>
  <pageMargins left="0.7" right="0.7" top="0.75" bottom="0.75" header="0.3" footer="0.3"/>
  <pageSetup orientation="portrait" r:id="rId1"/>
  <headerFooter>
    <oddHeader>&amp;LAs of 1/4/2022&amp;C&amp;"-,Bold"2021-22 Food Service Budget
Amendment #1&amp;RBessemer Area School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1"/>
  <sheetViews>
    <sheetView tabSelected="1" zoomScaleNormal="100" workbookViewId="0">
      <selection activeCell="L23" sqref="L23"/>
    </sheetView>
  </sheetViews>
  <sheetFormatPr defaultRowHeight="15" x14ac:dyDescent="0.25"/>
  <cols>
    <col min="1" max="1" width="39.85546875" bestFit="1" customWidth="1"/>
    <col min="2" max="3" width="11.7109375" bestFit="1" customWidth="1"/>
    <col min="4" max="4" width="12" style="31" bestFit="1" customWidth="1"/>
    <col min="5" max="5" width="12" customWidth="1"/>
    <col min="6" max="6" width="11.28515625" bestFit="1" customWidth="1"/>
    <col min="7" max="7" width="11.28515625" customWidth="1"/>
    <col min="8" max="8" width="16.140625" bestFit="1" customWidth="1"/>
    <col min="9" max="9" width="11.5703125" customWidth="1"/>
    <col min="10" max="11" width="11.85546875" bestFit="1" customWidth="1"/>
  </cols>
  <sheetData>
    <row r="1" spans="1:11" x14ac:dyDescent="0.25">
      <c r="A1" t="s">
        <v>61</v>
      </c>
      <c r="B1" s="9"/>
      <c r="C1" s="9"/>
      <c r="D1" s="13"/>
      <c r="E1" s="13"/>
      <c r="F1" s="9"/>
      <c r="G1" s="9"/>
      <c r="H1" s="14"/>
      <c r="I1" s="9"/>
    </row>
    <row r="2" spans="1:11" x14ac:dyDescent="0.25">
      <c r="A2" s="1" t="s">
        <v>1</v>
      </c>
      <c r="B2" s="32" t="s">
        <v>2</v>
      </c>
      <c r="C2" s="32" t="s">
        <v>3</v>
      </c>
      <c r="D2" s="32" t="s">
        <v>3</v>
      </c>
      <c r="E2" s="32" t="s">
        <v>3</v>
      </c>
      <c r="F2" s="8"/>
      <c r="G2" s="35" t="s">
        <v>4</v>
      </c>
      <c r="H2" s="32" t="s">
        <v>3</v>
      </c>
      <c r="I2" s="32" t="s">
        <v>57</v>
      </c>
    </row>
    <row r="3" spans="1:11" x14ac:dyDescent="0.25">
      <c r="A3" s="1" t="s">
        <v>5</v>
      </c>
      <c r="B3" s="32" t="s">
        <v>6</v>
      </c>
      <c r="C3" s="32" t="s">
        <v>54</v>
      </c>
      <c r="D3" s="32" t="s">
        <v>8</v>
      </c>
      <c r="E3" s="32" t="s">
        <v>9</v>
      </c>
      <c r="F3" s="8"/>
      <c r="G3" s="35" t="s">
        <v>10</v>
      </c>
      <c r="H3" s="32" t="s">
        <v>11</v>
      </c>
      <c r="I3" s="32" t="s">
        <v>55</v>
      </c>
    </row>
    <row r="4" spans="1:11" x14ac:dyDescent="0.25">
      <c r="A4" s="1"/>
      <c r="B4" s="33" t="s">
        <v>8</v>
      </c>
      <c r="C4" s="33" t="s">
        <v>12</v>
      </c>
      <c r="D4" s="33" t="s">
        <v>13</v>
      </c>
      <c r="E4" s="33" t="s">
        <v>56</v>
      </c>
      <c r="F4" s="33" t="s">
        <v>15</v>
      </c>
      <c r="G4" s="36" t="s">
        <v>12</v>
      </c>
      <c r="H4" s="33" t="s">
        <v>12</v>
      </c>
      <c r="I4" s="33" t="s">
        <v>12</v>
      </c>
    </row>
    <row r="5" spans="1:11" x14ac:dyDescent="0.25">
      <c r="A5" s="8" t="s">
        <v>16</v>
      </c>
      <c r="B5" s="9"/>
      <c r="C5" s="11"/>
      <c r="D5" s="11"/>
      <c r="E5" s="11"/>
      <c r="F5" s="11"/>
      <c r="G5" s="12"/>
      <c r="H5" s="9"/>
      <c r="I5" s="9"/>
    </row>
    <row r="6" spans="1:11" x14ac:dyDescent="0.25">
      <c r="A6" s="13" t="s">
        <v>17</v>
      </c>
      <c r="B6" s="14"/>
      <c r="C6" s="14">
        <v>6500</v>
      </c>
      <c r="D6" s="11">
        <v>6775.16</v>
      </c>
      <c r="E6" s="11">
        <f>8281.58-D6</f>
        <v>1506.42</v>
      </c>
      <c r="F6" s="12">
        <f>E6+D6-C6</f>
        <v>1781.58</v>
      </c>
      <c r="G6" s="12">
        <v>1781.58</v>
      </c>
      <c r="H6" s="12">
        <f t="shared" ref="H6:H13" si="0">SUM(C6+G6)</f>
        <v>8281.58</v>
      </c>
      <c r="I6" s="12">
        <v>8000</v>
      </c>
    </row>
    <row r="7" spans="1:11" x14ac:dyDescent="0.25">
      <c r="A7" s="13" t="s">
        <v>18</v>
      </c>
      <c r="B7" s="14"/>
      <c r="C7" s="14">
        <v>174000</v>
      </c>
      <c r="D7" s="11">
        <f>50573.86+153404.21</f>
        <v>203978.07</v>
      </c>
      <c r="E7" s="11">
        <f>9359.76+1138.38+22867.25+2450.06</f>
        <v>35815.449999999997</v>
      </c>
      <c r="F7" s="12">
        <f t="shared" ref="F7:F14" si="1">E7+D7-C7</f>
        <v>65793.520000000019</v>
      </c>
      <c r="G7" s="12">
        <v>65793.52</v>
      </c>
      <c r="H7" s="12">
        <f t="shared" si="0"/>
        <v>239793.52000000002</v>
      </c>
      <c r="I7" s="12">
        <v>215000</v>
      </c>
    </row>
    <row r="8" spans="1:11" x14ac:dyDescent="0.25">
      <c r="A8" s="13" t="s">
        <v>19</v>
      </c>
      <c r="B8" s="14"/>
      <c r="C8" s="14">
        <v>3700</v>
      </c>
      <c r="D8" s="11">
        <f>50+609.75+4143.1</f>
        <v>4802.8500000000004</v>
      </c>
      <c r="E8" s="11">
        <v>0</v>
      </c>
      <c r="F8" s="12">
        <f t="shared" si="1"/>
        <v>1102.8500000000004</v>
      </c>
      <c r="G8" s="12">
        <v>1102.8499999999999</v>
      </c>
      <c r="H8" s="12">
        <f t="shared" si="0"/>
        <v>4802.8500000000004</v>
      </c>
      <c r="I8" s="12">
        <v>4000</v>
      </c>
    </row>
    <row r="9" spans="1:11" x14ac:dyDescent="0.25">
      <c r="A9" s="13" t="s">
        <v>20</v>
      </c>
      <c r="B9" s="14"/>
      <c r="C9" s="14">
        <v>0</v>
      </c>
      <c r="D9" s="11">
        <v>0</v>
      </c>
      <c r="E9" s="11">
        <v>0</v>
      </c>
      <c r="F9" s="12">
        <f t="shared" si="1"/>
        <v>0</v>
      </c>
      <c r="G9" s="12">
        <v>0</v>
      </c>
      <c r="H9" s="12">
        <f t="shared" si="0"/>
        <v>0</v>
      </c>
      <c r="I9" s="12">
        <v>0</v>
      </c>
    </row>
    <row r="10" spans="1:11" x14ac:dyDescent="0.25">
      <c r="A10" s="13" t="s">
        <v>59</v>
      </c>
      <c r="B10" s="14"/>
      <c r="C10" s="14">
        <v>0</v>
      </c>
      <c r="D10" s="11">
        <v>12541.07</v>
      </c>
      <c r="E10" s="11">
        <v>0</v>
      </c>
      <c r="F10" s="12">
        <f t="shared" si="1"/>
        <v>12541.07</v>
      </c>
      <c r="G10" s="12">
        <v>12541.07</v>
      </c>
      <c r="H10" s="12">
        <f t="shared" si="0"/>
        <v>12541.07</v>
      </c>
      <c r="I10" s="12">
        <v>0</v>
      </c>
    </row>
    <row r="11" spans="1:11" x14ac:dyDescent="0.25">
      <c r="A11" s="13" t="s">
        <v>21</v>
      </c>
      <c r="B11" s="14"/>
      <c r="C11" s="14">
        <v>22231.97</v>
      </c>
      <c r="D11" s="11">
        <v>19449.8</v>
      </c>
      <c r="E11" s="11">
        <v>3652.84</v>
      </c>
      <c r="F11" s="12">
        <f>E11+D11-C11</f>
        <v>870.66999999999825</v>
      </c>
      <c r="G11" s="12">
        <v>870.67</v>
      </c>
      <c r="H11" s="12">
        <f t="shared" si="0"/>
        <v>23102.639999999999</v>
      </c>
      <c r="I11" s="12">
        <f>29000+8700+2400</f>
        <v>40100</v>
      </c>
      <c r="K11" s="34"/>
    </row>
    <row r="12" spans="1:11" x14ac:dyDescent="0.25">
      <c r="A12" s="13" t="s">
        <v>60</v>
      </c>
      <c r="B12" s="14"/>
      <c r="C12" s="14">
        <v>0</v>
      </c>
      <c r="D12" s="11">
        <v>0</v>
      </c>
      <c r="E12" s="11">
        <v>0</v>
      </c>
      <c r="F12" s="12">
        <f>E12+D12-C12</f>
        <v>0</v>
      </c>
      <c r="G12" s="12">
        <v>0</v>
      </c>
      <c r="H12" s="12">
        <f t="shared" si="0"/>
        <v>0</v>
      </c>
      <c r="I12" s="12">
        <v>0</v>
      </c>
      <c r="K12" s="34"/>
    </row>
    <row r="13" spans="1:11" x14ac:dyDescent="0.25">
      <c r="A13" s="13" t="s">
        <v>58</v>
      </c>
      <c r="B13" s="14"/>
      <c r="C13" s="14">
        <v>0</v>
      </c>
      <c r="D13" s="11">
        <v>16146.18</v>
      </c>
      <c r="E13" s="11">
        <v>794.75</v>
      </c>
      <c r="F13" s="12">
        <f t="shared" si="1"/>
        <v>16940.93</v>
      </c>
      <c r="G13" s="12">
        <v>16940.93</v>
      </c>
      <c r="H13" s="12">
        <f t="shared" si="0"/>
        <v>16940.93</v>
      </c>
      <c r="I13" s="12">
        <v>0</v>
      </c>
    </row>
    <row r="14" spans="1:11" x14ac:dyDescent="0.25">
      <c r="A14" s="13" t="s">
        <v>22</v>
      </c>
      <c r="B14" s="15"/>
      <c r="C14" s="15">
        <v>13000</v>
      </c>
      <c r="D14" s="17">
        <v>811.2</v>
      </c>
      <c r="E14" s="17">
        <v>0</v>
      </c>
      <c r="F14" s="15">
        <f t="shared" si="1"/>
        <v>-12188.8</v>
      </c>
      <c r="G14" s="15">
        <v>-12188.8</v>
      </c>
      <c r="H14" s="37">
        <f>SUM(C14+G14)</f>
        <v>811.20000000000073</v>
      </c>
      <c r="I14" s="39">
        <v>600</v>
      </c>
      <c r="J14" s="2"/>
    </row>
    <row r="15" spans="1:11" x14ac:dyDescent="0.25">
      <c r="A15" s="8" t="s">
        <v>23</v>
      </c>
      <c r="B15" s="18">
        <v>186050</v>
      </c>
      <c r="C15" s="18">
        <f>SUM(C6:C14)</f>
        <v>219431.97</v>
      </c>
      <c r="D15" s="18">
        <f t="shared" ref="D15" si="2">SUM(D6:D14)</f>
        <v>264504.33</v>
      </c>
      <c r="E15" s="18">
        <f>SUM(E6:E14)</f>
        <v>41769.459999999992</v>
      </c>
      <c r="F15" s="20">
        <f>SUM(F6:F14)</f>
        <v>86841.820000000022</v>
      </c>
      <c r="G15" s="18">
        <f>SUM(G6:G14)</f>
        <v>86841.820000000022</v>
      </c>
      <c r="H15" s="18">
        <f>SUM(C15+G15)</f>
        <v>306273.79000000004</v>
      </c>
      <c r="I15" s="18">
        <f>SUM(I6:I14)</f>
        <v>267700</v>
      </c>
    </row>
    <row r="16" spans="1:11" x14ac:dyDescent="0.25">
      <c r="A16" s="8" t="s">
        <v>24</v>
      </c>
      <c r="B16" s="21">
        <v>50445</v>
      </c>
      <c r="C16" s="21">
        <f>B44</f>
        <v>32374</v>
      </c>
      <c r="D16" s="11"/>
      <c r="E16" s="11"/>
      <c r="F16" s="12"/>
      <c r="G16" s="22"/>
      <c r="H16" s="21">
        <v>32374</v>
      </c>
      <c r="I16" s="21">
        <f>H44</f>
        <v>103388.40000000005</v>
      </c>
      <c r="J16" s="34"/>
    </row>
    <row r="17" spans="1:11" x14ac:dyDescent="0.25">
      <c r="A17" s="23" t="s">
        <v>26</v>
      </c>
      <c r="B17" s="24"/>
      <c r="C17" s="24">
        <f>C15+C16</f>
        <v>251805.97</v>
      </c>
      <c r="D17" s="24"/>
      <c r="E17" s="24"/>
      <c r="F17" s="24"/>
      <c r="G17" s="24"/>
      <c r="H17" s="24">
        <f>SUM(H15:H16)</f>
        <v>338647.79000000004</v>
      </c>
      <c r="I17" s="24">
        <f>SUM(I15:I16)</f>
        <v>371088.4</v>
      </c>
    </row>
    <row r="18" spans="1:11" x14ac:dyDescent="0.25">
      <c r="A18" s="8"/>
      <c r="B18" s="9"/>
      <c r="C18" s="9"/>
      <c r="D18" s="11"/>
      <c r="E18" s="11"/>
      <c r="F18" s="12"/>
      <c r="G18" s="12"/>
      <c r="H18" s="9"/>
      <c r="I18" s="9"/>
    </row>
    <row r="19" spans="1:11" x14ac:dyDescent="0.25">
      <c r="A19" s="8" t="s">
        <v>27</v>
      </c>
      <c r="B19" s="9"/>
      <c r="C19" s="9"/>
      <c r="D19" s="11"/>
      <c r="E19" s="11"/>
      <c r="F19" s="12"/>
      <c r="G19" s="12"/>
      <c r="H19" s="9"/>
      <c r="I19" s="9"/>
    </row>
    <row r="20" spans="1:11" x14ac:dyDescent="0.25">
      <c r="A20" s="13" t="s">
        <v>28</v>
      </c>
      <c r="B20" s="14"/>
      <c r="C20" s="14">
        <v>5255.74</v>
      </c>
      <c r="D20" s="11">
        <v>5255.74</v>
      </c>
      <c r="E20" s="11">
        <v>0</v>
      </c>
      <c r="F20" s="12">
        <f>E20+D20-C20</f>
        <v>0</v>
      </c>
      <c r="G20" s="12">
        <v>0</v>
      </c>
      <c r="H20" s="14">
        <f>C20+G20</f>
        <v>5255.74</v>
      </c>
      <c r="I20" s="14">
        <v>19900</v>
      </c>
      <c r="J20" s="2"/>
      <c r="K20" s="38"/>
    </row>
    <row r="21" spans="1:11" x14ac:dyDescent="0.25">
      <c r="A21" s="13" t="s">
        <v>29</v>
      </c>
      <c r="B21" s="14"/>
      <c r="C21" s="14">
        <v>18776.75</v>
      </c>
      <c r="D21" s="11">
        <f>18277.87-575</f>
        <v>17702.87</v>
      </c>
      <c r="E21" s="11">
        <v>800</v>
      </c>
      <c r="F21" s="12">
        <f t="shared" ref="F21:F42" si="3">E21+D21-C21</f>
        <v>-273.88000000000102</v>
      </c>
      <c r="G21" s="12">
        <v>-331.38</v>
      </c>
      <c r="H21" s="14">
        <f t="shared" ref="H21:H42" si="4">C21+G21</f>
        <v>18445.37</v>
      </c>
      <c r="I21" s="14">
        <f>1000+29000</f>
        <v>30000</v>
      </c>
      <c r="J21" s="2"/>
      <c r="K21" s="2"/>
    </row>
    <row r="22" spans="1:11" x14ac:dyDescent="0.25">
      <c r="A22" s="13" t="s">
        <v>30</v>
      </c>
      <c r="B22" s="14"/>
      <c r="C22" s="14">
        <v>750</v>
      </c>
      <c r="D22" s="11">
        <v>575</v>
      </c>
      <c r="E22" s="11">
        <v>175</v>
      </c>
      <c r="F22" s="12">
        <f t="shared" si="3"/>
        <v>0</v>
      </c>
      <c r="G22" s="12">
        <v>0</v>
      </c>
      <c r="H22" s="14">
        <f t="shared" si="4"/>
        <v>750</v>
      </c>
      <c r="I22" s="14">
        <v>0</v>
      </c>
    </row>
    <row r="23" spans="1:11" x14ac:dyDescent="0.25">
      <c r="A23" s="13" t="s">
        <v>31</v>
      </c>
      <c r="B23" s="14"/>
      <c r="C23" s="14">
        <v>53848.66</v>
      </c>
      <c r="D23" s="11">
        <f>915.63+11066.03+21307.84+14773.92</f>
        <v>48063.42</v>
      </c>
      <c r="E23" s="11">
        <v>0</v>
      </c>
      <c r="F23" s="12">
        <f t="shared" si="3"/>
        <v>-5785.2400000000052</v>
      </c>
      <c r="G23" s="12">
        <v>-5785.24</v>
      </c>
      <c r="H23" s="14">
        <f t="shared" si="4"/>
        <v>48063.420000000006</v>
      </c>
      <c r="I23" s="14">
        <f>19600+18800+2100+12474</f>
        <v>52974</v>
      </c>
    </row>
    <row r="24" spans="1:11" x14ac:dyDescent="0.25">
      <c r="A24" s="13" t="s">
        <v>32</v>
      </c>
      <c r="B24" s="14"/>
      <c r="C24" s="14">
        <v>1625</v>
      </c>
      <c r="D24" s="11">
        <v>1625</v>
      </c>
      <c r="E24" s="11">
        <v>0</v>
      </c>
      <c r="F24" s="12">
        <f t="shared" si="3"/>
        <v>0</v>
      </c>
      <c r="G24" s="12">
        <v>0</v>
      </c>
      <c r="H24" s="14">
        <f t="shared" si="4"/>
        <v>1625</v>
      </c>
      <c r="I24" s="14">
        <v>0</v>
      </c>
    </row>
    <row r="25" spans="1:11" x14ac:dyDescent="0.25">
      <c r="A25" s="13" t="s">
        <v>33</v>
      </c>
      <c r="B25" s="14"/>
      <c r="C25" s="14">
        <v>2700</v>
      </c>
      <c r="D25" s="11">
        <v>2197.08</v>
      </c>
      <c r="E25" s="11">
        <v>0</v>
      </c>
      <c r="F25" s="12">
        <f t="shared" si="3"/>
        <v>-502.92000000000007</v>
      </c>
      <c r="G25" s="12">
        <v>-502.92</v>
      </c>
      <c r="H25" s="14">
        <f t="shared" si="4"/>
        <v>2197.08</v>
      </c>
      <c r="I25" s="14">
        <f>3600+500</f>
        <v>4100</v>
      </c>
    </row>
    <row r="26" spans="1:11" x14ac:dyDescent="0.25">
      <c r="A26" s="13" t="s">
        <v>34</v>
      </c>
      <c r="B26" s="14"/>
      <c r="C26" s="14">
        <v>1000</v>
      </c>
      <c r="D26" s="11">
        <v>0</v>
      </c>
      <c r="E26" s="11">
        <v>0</v>
      </c>
      <c r="F26" s="12">
        <f t="shared" si="3"/>
        <v>-1000</v>
      </c>
      <c r="G26" s="12">
        <v>-1000</v>
      </c>
      <c r="H26" s="14">
        <f t="shared" si="4"/>
        <v>0</v>
      </c>
      <c r="I26" s="14">
        <v>2000</v>
      </c>
    </row>
    <row r="27" spans="1:11" x14ac:dyDescent="0.25">
      <c r="A27" s="13" t="s">
        <v>35</v>
      </c>
      <c r="B27" s="14"/>
      <c r="C27" s="14">
        <v>462.52</v>
      </c>
      <c r="D27" s="11">
        <v>462.52</v>
      </c>
      <c r="E27" s="11">
        <v>0</v>
      </c>
      <c r="F27" s="12">
        <f t="shared" si="3"/>
        <v>0</v>
      </c>
      <c r="G27" s="12">
        <v>0</v>
      </c>
      <c r="H27" s="14">
        <f t="shared" si="4"/>
        <v>462.52</v>
      </c>
      <c r="I27" s="14">
        <v>0</v>
      </c>
    </row>
    <row r="28" spans="1:11" x14ac:dyDescent="0.25">
      <c r="A28" s="13" t="s">
        <v>36</v>
      </c>
      <c r="B28" s="14"/>
      <c r="C28" s="14">
        <v>5640.69</v>
      </c>
      <c r="D28" s="11">
        <f>2268.42+530.14+233.19</f>
        <v>3031.75</v>
      </c>
      <c r="E28" s="11">
        <v>250</v>
      </c>
      <c r="F28" s="12">
        <f t="shared" si="3"/>
        <v>-2358.9399999999996</v>
      </c>
      <c r="G28" s="12">
        <v>-2386.48</v>
      </c>
      <c r="H28" s="14">
        <f t="shared" si="4"/>
        <v>3254.2099999999996</v>
      </c>
      <c r="I28" s="14">
        <f>300+8700</f>
        <v>9000</v>
      </c>
    </row>
    <row r="29" spans="1:11" x14ac:dyDescent="0.25">
      <c r="A29" s="13" t="s">
        <v>37</v>
      </c>
      <c r="B29" s="14"/>
      <c r="C29" s="14">
        <v>123.45</v>
      </c>
      <c r="D29" s="11">
        <v>123.45</v>
      </c>
      <c r="E29" s="11">
        <v>0</v>
      </c>
      <c r="F29" s="12">
        <f t="shared" si="3"/>
        <v>0</v>
      </c>
      <c r="G29" s="12">
        <v>0</v>
      </c>
      <c r="H29" s="14">
        <f t="shared" si="4"/>
        <v>123.45</v>
      </c>
      <c r="I29" s="14">
        <v>0</v>
      </c>
    </row>
    <row r="30" spans="1:11" x14ac:dyDescent="0.25">
      <c r="A30" s="13" t="s">
        <v>38</v>
      </c>
      <c r="B30" s="14"/>
      <c r="C30" s="14">
        <v>1500</v>
      </c>
      <c r="D30" s="11">
        <v>1354.27</v>
      </c>
      <c r="E30" s="11">
        <v>60</v>
      </c>
      <c r="F30" s="12">
        <f t="shared" si="3"/>
        <v>-85.730000000000018</v>
      </c>
      <c r="G30" s="12">
        <v>-88.93</v>
      </c>
      <c r="H30" s="14">
        <f t="shared" si="4"/>
        <v>1411.07</v>
      </c>
      <c r="I30" s="14">
        <f>2400+76.5</f>
        <v>2476.5</v>
      </c>
    </row>
    <row r="31" spans="1:11" x14ac:dyDescent="0.25">
      <c r="A31" s="13" t="s">
        <v>39</v>
      </c>
      <c r="B31" s="14"/>
      <c r="C31" s="14">
        <v>17000</v>
      </c>
      <c r="D31" s="11">
        <f>20.96+3107.15+8296.59+1441.72+3955.62</f>
        <v>16822.04</v>
      </c>
      <c r="E31" s="11">
        <v>0</v>
      </c>
      <c r="F31" s="12">
        <f t="shared" si="3"/>
        <v>-177.95999999999913</v>
      </c>
      <c r="G31" s="12">
        <v>-177.96</v>
      </c>
      <c r="H31" s="14">
        <f t="shared" si="4"/>
        <v>16822.04</v>
      </c>
      <c r="I31" s="14">
        <f>16500+3800</f>
        <v>20300</v>
      </c>
    </row>
    <row r="32" spans="1:11" x14ac:dyDescent="0.25">
      <c r="A32" s="13" t="s">
        <v>40</v>
      </c>
      <c r="B32" s="14"/>
      <c r="C32" s="14">
        <v>4593.54</v>
      </c>
      <c r="D32" s="11">
        <f>826.25+1786.3+402.06+1130.19</f>
        <v>4144.8</v>
      </c>
      <c r="E32" s="11">
        <v>0</v>
      </c>
      <c r="F32" s="12">
        <f t="shared" si="3"/>
        <v>-448.73999999999978</v>
      </c>
      <c r="G32" s="12">
        <v>-448.74</v>
      </c>
      <c r="H32" s="14">
        <f t="shared" si="4"/>
        <v>4144.8</v>
      </c>
      <c r="I32" s="14">
        <f>1000+4800</f>
        <v>5800</v>
      </c>
    </row>
    <row r="33" spans="1:11" x14ac:dyDescent="0.25">
      <c r="A33" s="13" t="s">
        <v>41</v>
      </c>
      <c r="B33" s="14"/>
      <c r="C33" s="14">
        <v>0</v>
      </c>
      <c r="D33" s="11">
        <v>0</v>
      </c>
      <c r="E33" s="11">
        <v>0</v>
      </c>
      <c r="F33" s="12">
        <f t="shared" si="3"/>
        <v>0</v>
      </c>
      <c r="G33" s="12">
        <v>0</v>
      </c>
      <c r="H33" s="14">
        <f t="shared" si="4"/>
        <v>0</v>
      </c>
      <c r="I33" s="14">
        <v>0</v>
      </c>
    </row>
    <row r="34" spans="1:11" x14ac:dyDescent="0.25">
      <c r="A34" s="13" t="s">
        <v>42</v>
      </c>
      <c r="B34" s="14"/>
      <c r="C34" s="14">
        <v>400</v>
      </c>
      <c r="D34" s="11">
        <v>300</v>
      </c>
      <c r="E34" s="11">
        <v>0</v>
      </c>
      <c r="F34" s="12">
        <f t="shared" si="3"/>
        <v>-100</v>
      </c>
      <c r="G34" s="12">
        <v>-100</v>
      </c>
      <c r="H34" s="14">
        <f t="shared" si="4"/>
        <v>300</v>
      </c>
      <c r="I34" s="14">
        <v>500</v>
      </c>
    </row>
    <row r="35" spans="1:11" x14ac:dyDescent="0.25">
      <c r="A35" s="13" t="s">
        <v>43</v>
      </c>
      <c r="B35" s="14"/>
      <c r="C35" s="14">
        <v>111509.04000000001</v>
      </c>
      <c r="D35" s="11">
        <f>17650.57+76284.47</f>
        <v>93935.040000000008</v>
      </c>
      <c r="E35" s="11">
        <f>462.74+1704.97+500</f>
        <v>2667.71</v>
      </c>
      <c r="F35" s="12">
        <f t="shared" si="3"/>
        <v>-14906.289999999994</v>
      </c>
      <c r="G35" s="12">
        <v>-14906.29</v>
      </c>
      <c r="H35" s="14">
        <f t="shared" si="4"/>
        <v>96602.75</v>
      </c>
      <c r="I35" s="14">
        <v>105000</v>
      </c>
    </row>
    <row r="36" spans="1:11" x14ac:dyDescent="0.25">
      <c r="A36" s="13" t="s">
        <v>44</v>
      </c>
      <c r="B36" s="14"/>
      <c r="C36" s="14">
        <v>27807.84</v>
      </c>
      <c r="D36" s="11">
        <f>19246.53</f>
        <v>19246.53</v>
      </c>
      <c r="E36" s="11">
        <v>11.32</v>
      </c>
      <c r="F36" s="12">
        <f t="shared" si="3"/>
        <v>-8549.9900000000016</v>
      </c>
      <c r="G36" s="12">
        <v>-8549.99</v>
      </c>
      <c r="H36" s="14">
        <f t="shared" si="4"/>
        <v>19257.849999999999</v>
      </c>
      <c r="I36" s="14">
        <v>30000</v>
      </c>
    </row>
    <row r="37" spans="1:11" x14ac:dyDescent="0.25">
      <c r="A37" s="13" t="s">
        <v>45</v>
      </c>
      <c r="B37" s="14"/>
      <c r="C37" s="14">
        <v>8221.869999999999</v>
      </c>
      <c r="D37" s="11">
        <f>2790.3+6755.63</f>
        <v>9545.93</v>
      </c>
      <c r="E37" s="11">
        <f>600</f>
        <v>600</v>
      </c>
      <c r="F37" s="12">
        <f t="shared" si="3"/>
        <v>1924.0600000000013</v>
      </c>
      <c r="G37" s="12">
        <v>1924.06</v>
      </c>
      <c r="H37" s="14">
        <f t="shared" si="4"/>
        <v>10145.929999999998</v>
      </c>
      <c r="I37" s="14">
        <v>12000</v>
      </c>
    </row>
    <row r="38" spans="1:11" x14ac:dyDescent="0.25">
      <c r="A38" s="13" t="s">
        <v>46</v>
      </c>
      <c r="B38" s="14"/>
      <c r="C38" s="14">
        <v>0</v>
      </c>
      <c r="D38" s="11">
        <v>0</v>
      </c>
      <c r="E38" s="11">
        <v>0</v>
      </c>
      <c r="F38" s="12">
        <f t="shared" si="3"/>
        <v>0</v>
      </c>
      <c r="G38" s="12">
        <v>0</v>
      </c>
      <c r="H38" s="14">
        <f t="shared" si="4"/>
        <v>0</v>
      </c>
      <c r="I38" s="14">
        <v>0</v>
      </c>
    </row>
    <row r="39" spans="1:11" x14ac:dyDescent="0.25">
      <c r="A39" s="13" t="s">
        <v>47</v>
      </c>
      <c r="B39" s="14"/>
      <c r="C39" s="14">
        <v>1500</v>
      </c>
      <c r="D39" s="11">
        <v>1103.52</v>
      </c>
      <c r="E39" s="11">
        <v>0</v>
      </c>
      <c r="F39" s="12">
        <f t="shared" si="3"/>
        <v>-396.48</v>
      </c>
      <c r="G39" s="12">
        <v>-396.48</v>
      </c>
      <c r="H39" s="14">
        <f t="shared" si="4"/>
        <v>1103.52</v>
      </c>
      <c r="I39" s="14">
        <v>6000</v>
      </c>
    </row>
    <row r="40" spans="1:11" x14ac:dyDescent="0.25">
      <c r="A40" s="13" t="s">
        <v>48</v>
      </c>
      <c r="B40" s="14"/>
      <c r="C40" s="14">
        <v>3846.33</v>
      </c>
      <c r="D40" s="11">
        <f>1056.33</f>
        <v>1056.33</v>
      </c>
      <c r="E40" s="11">
        <v>0</v>
      </c>
      <c r="F40" s="12">
        <v>-2790</v>
      </c>
      <c r="G40" s="12">
        <v>-2790</v>
      </c>
      <c r="H40" s="14">
        <f t="shared" si="4"/>
        <v>1056.33</v>
      </c>
      <c r="I40" s="14">
        <v>5000</v>
      </c>
    </row>
    <row r="41" spans="1:11" x14ac:dyDescent="0.25">
      <c r="A41" s="13" t="s">
        <v>49</v>
      </c>
      <c r="B41" s="14"/>
      <c r="C41" s="14">
        <v>0</v>
      </c>
      <c r="D41" s="11">
        <v>0</v>
      </c>
      <c r="E41" s="11">
        <v>0</v>
      </c>
      <c r="F41" s="12">
        <f t="shared" si="3"/>
        <v>0</v>
      </c>
      <c r="G41" s="12">
        <v>0</v>
      </c>
      <c r="H41" s="14">
        <f t="shared" si="4"/>
        <v>0</v>
      </c>
      <c r="I41" s="14">
        <v>0</v>
      </c>
    </row>
    <row r="42" spans="1:11" x14ac:dyDescent="0.25">
      <c r="A42" s="13" t="s">
        <v>50</v>
      </c>
      <c r="B42" s="15"/>
      <c r="C42" s="15">
        <v>4523.3099999999995</v>
      </c>
      <c r="D42" s="17">
        <v>4238.3100000000004</v>
      </c>
      <c r="E42" s="17">
        <v>0</v>
      </c>
      <c r="F42" s="12">
        <f t="shared" si="3"/>
        <v>-284.99999999999909</v>
      </c>
      <c r="G42" s="15">
        <v>-285</v>
      </c>
      <c r="H42" s="14">
        <f t="shared" si="4"/>
        <v>4238.3099999999995</v>
      </c>
      <c r="I42" s="14">
        <v>8500</v>
      </c>
      <c r="K42" s="34"/>
    </row>
    <row r="43" spans="1:11" x14ac:dyDescent="0.25">
      <c r="A43" s="23" t="s">
        <v>51</v>
      </c>
      <c r="B43" s="24">
        <v>204121</v>
      </c>
      <c r="C43" s="24">
        <f t="shared" ref="C43:I43" si="5">SUM(C20:C42)</f>
        <v>271084.74</v>
      </c>
      <c r="D43" s="24">
        <f t="shared" si="5"/>
        <v>230783.6</v>
      </c>
      <c r="E43" s="24">
        <f t="shared" si="5"/>
        <v>4564.0300000000007</v>
      </c>
      <c r="F43" s="24">
        <f t="shared" si="5"/>
        <v>-35737.11</v>
      </c>
      <c r="G43" s="24">
        <f t="shared" si="5"/>
        <v>-35825.35</v>
      </c>
      <c r="H43" s="24">
        <f t="shared" si="5"/>
        <v>235259.38999999998</v>
      </c>
      <c r="I43" s="24">
        <f t="shared" si="5"/>
        <v>313550.5</v>
      </c>
      <c r="J43" s="34"/>
    </row>
    <row r="44" spans="1:11" ht="15.75" thickBot="1" x14ac:dyDescent="0.3">
      <c r="A44" s="26" t="s">
        <v>52</v>
      </c>
      <c r="B44" s="27">
        <f>B15+B16-B43</f>
        <v>32374</v>
      </c>
      <c r="C44" s="27">
        <f>C17-C43</f>
        <v>-19278.76999999999</v>
      </c>
      <c r="D44" s="29"/>
      <c r="E44" s="29"/>
      <c r="F44" s="30"/>
      <c r="G44" s="30"/>
      <c r="H44" s="27">
        <f>SUM(H17-H43)</f>
        <v>103388.40000000005</v>
      </c>
      <c r="I44" s="27">
        <f>SUM(I17-I43)</f>
        <v>57537.900000000023</v>
      </c>
    </row>
    <row r="45" spans="1:11" ht="15.75" thickTop="1" x14ac:dyDescent="0.25">
      <c r="A45" s="8" t="s">
        <v>53</v>
      </c>
      <c r="B45" s="9"/>
      <c r="C45" s="9"/>
      <c r="D45" s="11"/>
      <c r="E45" s="11"/>
      <c r="F45" s="11"/>
      <c r="G45" s="12"/>
      <c r="H45" s="12"/>
      <c r="I45" s="9"/>
    </row>
    <row r="46" spans="1:11" x14ac:dyDescent="0.25">
      <c r="B46" s="9"/>
      <c r="C46" s="9"/>
      <c r="D46" s="9"/>
      <c r="E46" s="9"/>
      <c r="F46" s="9"/>
      <c r="G46" s="9"/>
      <c r="H46" s="9"/>
      <c r="I46" s="9"/>
    </row>
    <row r="47" spans="1:11" x14ac:dyDescent="0.25">
      <c r="D47" s="9"/>
      <c r="E47" s="34"/>
    </row>
    <row r="48" spans="1:11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  <row r="58" spans="4:4" x14ac:dyDescent="0.25">
      <c r="D58" s="9"/>
    </row>
    <row r="59" spans="4:4" x14ac:dyDescent="0.25">
      <c r="D59" s="9"/>
    </row>
    <row r="60" spans="4:4" x14ac:dyDescent="0.25">
      <c r="D60" s="9"/>
    </row>
    <row r="61" spans="4:4" x14ac:dyDescent="0.25">
      <c r="D61" s="9"/>
    </row>
    <row r="62" spans="4:4" x14ac:dyDescent="0.25">
      <c r="D62" s="9"/>
    </row>
    <row r="63" spans="4:4" x14ac:dyDescent="0.25">
      <c r="D63" s="9"/>
    </row>
    <row r="64" spans="4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</sheetData>
  <printOptions gridLines="1"/>
  <pageMargins left="0.7" right="0.7" top="0.75" bottom="0.75" header="0.3" footer="0.3"/>
  <pageSetup scale="76" orientation="landscape" r:id="rId1"/>
  <headerFooter>
    <oddHeader>&amp;LBESSEMER AREA SCHOOL DISTRICT&amp;C2021-22 FOOD SERVICE FINAL BUDGET
2022-23 PROPOSED BUDGET&amp;RJUNE 30,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REMC1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khuotari</dc:creator>
  <cp:lastModifiedBy>khuotari</cp:lastModifiedBy>
  <cp:lastPrinted>2022-06-21T15:04:13Z</cp:lastPrinted>
  <dcterms:created xsi:type="dcterms:W3CDTF">2022-01-04T18:45:41Z</dcterms:created>
  <dcterms:modified xsi:type="dcterms:W3CDTF">2022-06-23T18:41:04Z</dcterms:modified>
</cp:coreProperties>
</file>